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Your debts" sheetId="2" state="visible" r:id="rId2"/>
    <sheet xmlns:r="http://schemas.openxmlformats.org/officeDocument/2006/relationships" name="Your pla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0.00&quot;%&quot;"/>
    <numFmt numFmtId="166" formatCode="mmmm yyyy"/>
    <numFmt numFmtId="167" formatCode="mmm yyyy"/>
  </numFmts>
  <fonts count="21">
    <font>
      <name val="Calibri"/>
      <family val="2"/>
      <color theme="1"/>
      <sz val="11"/>
      <scheme val="minor"/>
    </font>
    <font>
      <name val="Calibri"/>
      <b val="1"/>
      <color rgb="001A2942"/>
      <sz val="20"/>
    </font>
    <font>
      <name val="Calibri"/>
      <color rgb="005E6E84"/>
      <sz val="12"/>
    </font>
    <font>
      <name val="Calibri"/>
      <color rgb="001A2942"/>
      <sz val="11"/>
    </font>
    <font>
      <name val="Calibri"/>
      <b val="1"/>
      <color rgb="001A2942"/>
      <sz val="14"/>
    </font>
    <font>
      <name val="Calibri"/>
      <color rgb="005E6E84"/>
      <sz val="11"/>
    </font>
    <font>
      <name val="Calibri"/>
      <b val="1"/>
      <color rgb="001A2942"/>
      <sz val="12"/>
    </font>
    <font>
      <name val="Calibri"/>
      <b val="1"/>
      <color rgb="001A2942"/>
      <sz val="18"/>
    </font>
    <font>
      <name val="Calibri"/>
      <b val="1"/>
      <color rgb="00FFFFFF"/>
      <sz val="11"/>
    </font>
    <font>
      <name val="Calibri"/>
      <b val="1"/>
      <color rgb="005BA3E0"/>
      <sz val="11"/>
    </font>
    <font>
      <name val="Calibri"/>
      <color rgb="005E6E84"/>
      <sz val="10"/>
    </font>
    <font>
      <name val="Calibri"/>
      <b val="1"/>
      <color rgb="001A2942"/>
      <sz val="11"/>
    </font>
    <font>
      <name val="Calibri"/>
      <b val="1"/>
      <color rgb="005E6E84"/>
      <sz val="11"/>
    </font>
    <font>
      <name val="Calibri"/>
      <b val="1"/>
      <color rgb="001FA974"/>
      <sz val="20"/>
    </font>
    <font>
      <name val="Calibri"/>
      <b val="1"/>
      <color rgb="00E04848"/>
      <sz val="12"/>
    </font>
    <font>
      <name val="Calibri"/>
      <b val="1"/>
      <color rgb="001FA974"/>
      <sz val="13"/>
    </font>
    <font>
      <name val="Calibri"/>
      <b val="1"/>
      <color rgb="00FFFFFF"/>
      <sz val="10"/>
    </font>
    <font>
      <name val="Calibri"/>
      <b val="1"/>
      <color rgb="00FFFFFF"/>
      <sz val="9"/>
    </font>
    <font>
      <name val="Calibri"/>
      <b val="1"/>
      <color rgb="001A2942"/>
      <sz val="10"/>
    </font>
    <font>
      <name val="Calibri"/>
      <color rgb="005E6E84"/>
      <sz val="9"/>
    </font>
    <font>
      <name val="Calibri"/>
      <color rgb="001A2942"/>
      <sz val="9"/>
    </font>
  </fonts>
  <fills count="6">
    <fill>
      <patternFill/>
    </fill>
    <fill>
      <patternFill patternType="gray125"/>
    </fill>
    <fill>
      <patternFill patternType="solid">
        <fgColor rgb="001A2942"/>
      </patternFill>
    </fill>
    <fill>
      <patternFill patternType="solid">
        <fgColor rgb="00F0F6FC"/>
      </patternFill>
    </fill>
    <fill>
      <patternFill patternType="solid">
        <fgColor rgb="00FFF4CC"/>
      </patternFill>
    </fill>
    <fill>
      <patternFill patternType="solid">
        <fgColor rgb="005BA3E0"/>
      </patternFill>
    </fill>
  </fills>
  <borders count="2">
    <border>
      <left/>
      <right/>
      <top/>
      <bottom/>
      <diagonal/>
    </border>
    <border>
      <left style="thin">
        <color rgb="00E4EBF4"/>
      </left>
      <right style="thin">
        <color rgb="00E4EBF4"/>
      </right>
      <top style="thin">
        <color rgb="00E4EBF4"/>
      </top>
      <bottom style="thin">
        <color rgb="00E4EBF4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2" borderId="1" applyAlignment="1" pivotButton="0" quotePrefix="0" xfId="0">
      <alignment horizontal="center" vertical="center" wrapText="1"/>
    </xf>
    <xf numFmtId="0" fontId="3" fillId="3" borderId="1" pivotButton="0" quotePrefix="0" xfId="0"/>
    <xf numFmtId="164" fontId="3" fillId="3" borderId="1" pivotButton="0" quotePrefix="0" xfId="0"/>
    <xf numFmtId="165" fontId="3" fillId="3" borderId="1" pivotButton="0" quotePrefix="0" xfId="0"/>
    <xf numFmtId="0" fontId="9" fillId="0" borderId="1" applyAlignment="1" pivotButton="0" quotePrefix="0" xfId="0">
      <alignment horizontal="center"/>
    </xf>
    <xf numFmtId="0" fontId="10" fillId="0" borderId="0" pivotButton="0" quotePrefix="0" xfId="0"/>
    <xf numFmtId="0" fontId="11" fillId="0" borderId="0" pivotButton="0" quotePrefix="0" xfId="0"/>
    <xf numFmtId="164" fontId="11" fillId="0" borderId="0" pivotButton="0" quotePrefix="0" xfId="0"/>
    <xf numFmtId="164" fontId="6" fillId="4" borderId="1" pivotButton="0" quotePrefix="0" xfId="0"/>
    <xf numFmtId="0" fontId="6" fillId="4" borderId="1" pivotButton="0" quotePrefix="0" xfId="0"/>
    <xf numFmtId="0" fontId="12" fillId="0" borderId="0" pivotButton="0" quotePrefix="0" xfId="0"/>
    <xf numFmtId="0" fontId="13" fillId="0" borderId="0" pivotButton="0" quotePrefix="0" xfId="0"/>
    <xf numFmtId="0" fontId="14" fillId="0" borderId="0" pivotButton="0" quotePrefix="0" xfId="0"/>
    <xf numFmtId="166" fontId="13" fillId="0" borderId="0" pivotButton="0" quotePrefix="0" xfId="0"/>
    <xf numFmtId="164" fontId="6" fillId="0" borderId="0" pivotButton="0" quotePrefix="0" xfId="0"/>
    <xf numFmtId="0" fontId="15" fillId="0" borderId="0" pivotButton="0" quotePrefix="0" xfId="0"/>
    <xf numFmtId="0" fontId="9" fillId="0" borderId="0" pivotButton="0" quotePrefix="0" xfId="0"/>
    <xf numFmtId="0" fontId="16" fillId="2" borderId="1" applyAlignment="1" pivotButton="0" quotePrefix="0" xfId="0">
      <alignment horizontal="center" wrapText="1"/>
    </xf>
    <xf numFmtId="0" fontId="17" fillId="5" borderId="1" applyAlignment="1" pivotButton="0" quotePrefix="0" xfId="0">
      <alignment horizontal="center" wrapText="1"/>
    </xf>
    <xf numFmtId="167" fontId="0" fillId="0" borderId="0" pivotButton="0" quotePrefix="0" xfId="0"/>
    <xf numFmtId="164" fontId="18" fillId="0" borderId="0" pivotButton="0" quotePrefix="0" xfId="0"/>
    <xf numFmtId="164" fontId="10" fillId="0" borderId="0" pivotButton="0" quotePrefix="0" xfId="0"/>
    <xf numFmtId="0" fontId="19" fillId="0" borderId="0" pivotButton="0" quotePrefix="0" xfId="0"/>
    <xf numFmtId="167" fontId="19" fillId="0" borderId="0" pivotButton="0" quotePrefix="0" xfId="0"/>
    <xf numFmtId="164" fontId="20" fillId="0" borderId="0" pivotButton="0" quotePrefix="0" xfId="0"/>
    <xf numFmtId="164" fontId="1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6" customWidth="1" min="2" max="2"/>
  </cols>
  <sheetData>
    <row r="2">
      <c r="B2" s="1" t="inlineStr">
        <is>
          <t>Debt Snowball Planner</t>
        </is>
      </c>
    </row>
    <row r="3">
      <c r="B3" s="2" t="inlineStr">
        <is>
          <t>A free spreadsheet that shows the month you'll be debt-free.</t>
        </is>
      </c>
    </row>
    <row r="4">
      <c r="B4" s="3" t="inlineStr"/>
    </row>
    <row r="5">
      <c r="B5" s="4" t="inlineStr">
        <is>
          <t>How to use it</t>
        </is>
      </c>
    </row>
    <row r="6">
      <c r="B6" s="3" t="inlineStr">
        <is>
          <t>1.  Open the 'Your debts' tab and type your debts in. Name, balance, interest rate, minimum payment.</t>
        </is>
      </c>
    </row>
    <row r="7">
      <c r="B7" s="3" t="inlineStr">
        <is>
          <t>2.  Put the total you can pay each month toward ALL debt in the yellow box. Minimums included.</t>
        </is>
      </c>
    </row>
    <row r="8">
      <c r="B8" s="3" t="inlineStr">
        <is>
          <t>3.  Pick Snowball (smallest balance first) or Avalanche (highest rate first). Your</t>
        </is>
      </c>
    </row>
    <row r="9">
      <c r="B9" s="3" t="inlineStr">
        <is>
          <t xml:space="preserve">     debt-free date appears right beside the dropdown -- flip it and watch it move.</t>
        </is>
      </c>
    </row>
    <row r="10">
      <c r="B10" s="3" t="inlineStr">
        <is>
          <t>4.  Open 'Your plan'. Your debt-free date is at the top.</t>
        </is>
      </c>
    </row>
    <row r="11">
      <c r="B11" s="3" t="inlineStr"/>
    </row>
    <row r="12">
      <c r="B12" s="4" t="inlineStr">
        <is>
          <t>Snowball or avalanche?</t>
        </is>
      </c>
    </row>
    <row r="13">
      <c r="B13" s="3" t="inlineStr">
        <is>
          <t>Avalanche costs less interest. Snowball closes an account sooner, and a closed account is</t>
        </is>
      </c>
    </row>
    <row r="14">
      <c r="B14" s="3" t="inlineStr">
        <is>
          <t>what makes people keep going. The difference in total interest is usually small. Try both:</t>
        </is>
      </c>
    </row>
    <row r="15">
      <c r="B15" s="3" t="inlineStr">
        <is>
          <t>change the dropdown and watch the date beside it move.</t>
        </is>
      </c>
    </row>
    <row r="16">
      <c r="B16" s="3" t="inlineStr"/>
    </row>
    <row r="17">
      <c r="B17" s="4" t="inlineStr">
        <is>
          <t>How the math works</t>
        </is>
      </c>
    </row>
    <row r="18">
      <c r="B18" s="3" t="inlineStr">
        <is>
          <t>Each month interest is added first, at your rate divided by twelve. Then every debt gets its</t>
        </is>
      </c>
    </row>
    <row r="19">
      <c r="B19" s="3" t="inlineStr">
        <is>
          <t>minimum. Whatever is left of your budget goes to the first debt in your attack order until it</t>
        </is>
      </c>
    </row>
    <row r="20">
      <c r="B20" s="3" t="inlineStr">
        <is>
          <t>hits zero, then rolls onto the next one. That rolling payment is the snowball.</t>
        </is>
      </c>
    </row>
    <row r="21">
      <c r="B21" s="3" t="inlineStr">
        <is>
          <t>The order is fixed at the start from the balances you typed, which is how the method is</t>
        </is>
      </c>
    </row>
    <row r="22">
      <c r="B22" s="3" t="inlineStr">
        <is>
          <t>actually taught: list them once, attack them in that order.</t>
        </is>
      </c>
    </row>
    <row r="23">
      <c r="B23" s="3" t="inlineStr"/>
    </row>
    <row r="24">
      <c r="B24" s="5" t="inlineStr">
        <is>
          <t>This is an estimate. Real statement interest moves a little with payment timing.</t>
        </is>
      </c>
    </row>
    <row r="25">
      <c r="B25" s="3" t="inlineStr"/>
    </row>
    <row r="26">
      <c r="B26" s="6" t="inlineStr">
        <is>
          <t>Made by Snowballer</t>
        </is>
      </c>
    </row>
    <row r="27">
      <c r="B27" s="5" t="inlineStr">
        <is>
          <t>Yours to keep, copy, and change. No sign-up, no email, no catch.</t>
        </is>
      </c>
    </row>
    <row r="28">
      <c r="B28" s="5" t="inlineStr">
        <is>
          <t>If you'd rather it lived on your phone and updated itself, Snowballer is a free iPhone app.</t>
        </is>
      </c>
    </row>
    <row r="29">
      <c r="B29" s="5" t="inlineStr">
        <is>
          <t>The debt-free date and the full plan are free in it. snowballerapp.com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G2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16" customWidth="1" min="3" max="3"/>
    <col width="12" customWidth="1" min="4" max="4"/>
    <col width="18" customWidth="1" min="5" max="5"/>
    <col width="10" customWidth="1" min="6" max="6"/>
    <col width="30" customWidth="1" min="7" max="7"/>
  </cols>
  <sheetData>
    <row r="2">
      <c r="B2" s="7" t="inlineStr">
        <is>
          <t>Your debts</t>
        </is>
      </c>
    </row>
    <row r="3">
      <c r="B3" s="5" t="inlineStr">
        <is>
          <t>Type over the example rows. Leave the rest blank.</t>
        </is>
      </c>
    </row>
    <row r="5" ht="30" customHeight="1">
      <c r="B5" s="8" t="inlineStr">
        <is>
          <t>Debt name</t>
        </is>
      </c>
      <c r="C5" s="8" t="inlineStr">
        <is>
          <t>Balance owed</t>
        </is>
      </c>
      <c r="D5" s="8" t="inlineStr">
        <is>
          <t>Rate (APR %)</t>
        </is>
      </c>
      <c r="E5" s="8" t="inlineStr">
        <is>
          <t>Minimum payment</t>
        </is>
      </c>
      <c r="F5" s="8" t="inlineStr">
        <is>
          <t>Order</t>
        </is>
      </c>
      <c r="G5" s="8" t="inlineStr">
        <is>
          <t>What 'Order' means</t>
        </is>
      </c>
    </row>
    <row r="6">
      <c r="B6" s="9" t="inlineStr">
        <is>
          <t>Store card</t>
        </is>
      </c>
      <c r="C6" s="10" t="n">
        <v>450</v>
      </c>
      <c r="D6" s="11" t="n">
        <v>26.99</v>
      </c>
      <c r="E6" s="10" t="n">
        <v>25</v>
      </c>
      <c r="F6" s="12">
        <f>IF(OR(B6="",C6&lt;=0),"",IF($C$20="Snowball",SUMPRODUCT(($B$6:$B$15&lt;&gt;"")*($C$6:$C$15&gt;0)*(($C$6:$C$15&lt;C6)+(($C$6:$C$15=C6)*($D$6:$D$15&gt;D6))+(($C$6:$C$15=C6)*($D$6:$D$15=D6)*(ROW($C$6:$C$15)&lt;6))))+1,SUMPRODUCT(($B$6:$B$15&lt;&gt;"")*($C$6:$C$15&gt;0)*(($D$6:$D$15&gt;D6)+(($D$6:$D$15=D6)*($C$6:$C$15&lt;C6))+(($D$6:$D$15=D6)*($C$6:$C$15=C6)*(ROW($C$6:$C$15)&lt;6))))+1))</f>
        <v/>
      </c>
      <c r="G6" s="13" t="inlineStr">
        <is>
          <t>1 is paid off first. This is set once,</t>
        </is>
      </c>
    </row>
    <row r="7">
      <c r="B7" s="9" t="inlineStr">
        <is>
          <t>Visa</t>
        </is>
      </c>
      <c r="C7" s="10" t="n">
        <v>3200</v>
      </c>
      <c r="D7" s="11" t="n">
        <v>22.99</v>
      </c>
      <c r="E7" s="10" t="n">
        <v>85</v>
      </c>
      <c r="F7" s="12">
        <f>IF(OR(B7="",C7&lt;=0),"",IF($C$20="Snowball",SUMPRODUCT(($B$6:$B$15&lt;&gt;"")*($C$6:$C$15&gt;0)*(($C$6:$C$15&lt;C7)+(($C$6:$C$15=C7)*($D$6:$D$15&gt;D7))+(($C$6:$C$15=C7)*($D$6:$D$15=D7)*(ROW($C$6:$C$15)&lt;7))))+1,SUMPRODUCT(($B$6:$B$15&lt;&gt;"")*($C$6:$C$15&gt;0)*(($D$6:$D$15&gt;D7)+(($D$6:$D$15=D7)*($C$6:$C$15&lt;C7))+(($D$6:$D$15=D7)*($C$6:$C$15=C7)*(ROW($C$6:$C$15)&lt;7))))+1))</f>
        <v/>
      </c>
      <c r="G7" s="13" t="inlineStr">
        <is>
          <t>from the balances above, and stays</t>
        </is>
      </c>
    </row>
    <row r="8">
      <c r="B8" s="9" t="inlineStr">
        <is>
          <t>Car loan</t>
        </is>
      </c>
      <c r="C8" s="10" t="n">
        <v>9800</v>
      </c>
      <c r="D8" s="11" t="n">
        <v>6.49</v>
      </c>
      <c r="E8" s="10" t="n">
        <v>310</v>
      </c>
      <c r="F8" s="12">
        <f>IF(OR(B8="",C8&lt;=0),"",IF($C$20="Snowball",SUMPRODUCT(($B$6:$B$15&lt;&gt;"")*($C$6:$C$15&gt;0)*(($C$6:$C$15&lt;C8)+(($C$6:$C$15=C8)*($D$6:$D$15&gt;D8))+(($C$6:$C$15=C8)*($D$6:$D$15=D8)*(ROW($C$6:$C$15)&lt;8))))+1,SUMPRODUCT(($B$6:$B$15&lt;&gt;"")*($C$6:$C$15&gt;0)*(($D$6:$D$15&gt;D8)+(($D$6:$D$15=D8)*($C$6:$C$15&lt;C8))+(($D$6:$D$15=D8)*($C$6:$C$15=C8)*(ROW($C$6:$C$15)&lt;8))))+1))</f>
        <v/>
      </c>
      <c r="G8" s="13" t="inlineStr">
        <is>
          <t>fixed as you pay them down.</t>
        </is>
      </c>
    </row>
    <row r="9">
      <c r="B9" s="9" t="inlineStr">
        <is>
          <t>Student loan</t>
        </is>
      </c>
      <c r="C9" s="10" t="n">
        <v>14500</v>
      </c>
      <c r="D9" s="11" t="n">
        <v>5.8</v>
      </c>
      <c r="E9" s="10" t="n">
        <v>180</v>
      </c>
      <c r="F9" s="12">
        <f>IF(OR(B9="",C9&lt;=0),"",IF($C$20="Snowball",SUMPRODUCT(($B$6:$B$15&lt;&gt;"")*($C$6:$C$15&gt;0)*(($C$6:$C$15&lt;C9)+(($C$6:$C$15=C9)*($D$6:$D$15&gt;D9))+(($C$6:$C$15=C9)*($D$6:$D$15=D9)*(ROW($C$6:$C$15)&lt;9))))+1,SUMPRODUCT(($B$6:$B$15&lt;&gt;"")*($C$6:$C$15&gt;0)*(($D$6:$D$15&gt;D9)+(($D$6:$D$15=D9)*($C$6:$C$15&lt;C9))+(($D$6:$D$15=D9)*($C$6:$C$15=C9)*(ROW($C$6:$C$15)&lt;9))))+1))</f>
        <v/>
      </c>
    </row>
    <row r="10">
      <c r="B10" s="9" t="n"/>
      <c r="C10" s="10" t="n"/>
      <c r="D10" s="11" t="n"/>
      <c r="E10" s="10" t="n"/>
      <c r="F10" s="12">
        <f>IF(OR(B10="",C10&lt;=0),"",IF($C$20="Snowball",SUMPRODUCT(($B$6:$B$15&lt;&gt;"")*($C$6:$C$15&gt;0)*(($C$6:$C$15&lt;C10)+(($C$6:$C$15=C10)*($D$6:$D$15&gt;D10))+(($C$6:$C$15=C10)*($D$6:$D$15=D10)*(ROW($C$6:$C$15)&lt;10))))+1,SUMPRODUCT(($B$6:$B$15&lt;&gt;"")*($C$6:$C$15&gt;0)*(($D$6:$D$15&gt;D10)+(($D$6:$D$15=D10)*($C$6:$C$15&lt;C10))+(($D$6:$D$15=D10)*($C$6:$C$15=C10)*(ROW($C$6:$C$15)&lt;10))))+1))</f>
        <v/>
      </c>
    </row>
    <row r="11">
      <c r="B11" s="9" t="n"/>
      <c r="C11" s="10" t="n"/>
      <c r="D11" s="11" t="n"/>
      <c r="E11" s="10" t="n"/>
      <c r="F11" s="12">
        <f>IF(OR(B11="",C11&lt;=0),"",IF($C$20="Snowball",SUMPRODUCT(($B$6:$B$15&lt;&gt;"")*($C$6:$C$15&gt;0)*(($C$6:$C$15&lt;C11)+(($C$6:$C$15=C11)*($D$6:$D$15&gt;D11))+(($C$6:$C$15=C11)*($D$6:$D$15=D11)*(ROW($C$6:$C$15)&lt;11))))+1,SUMPRODUCT(($B$6:$B$15&lt;&gt;"")*($C$6:$C$15&gt;0)*(($D$6:$D$15&gt;D11)+(($D$6:$D$15=D11)*($C$6:$C$15&lt;C11))+(($D$6:$D$15=D11)*($C$6:$C$15=C11)*(ROW($C$6:$C$15)&lt;11))))+1))</f>
        <v/>
      </c>
    </row>
    <row r="12">
      <c r="B12" s="9" t="n"/>
      <c r="C12" s="10" t="n"/>
      <c r="D12" s="11" t="n"/>
      <c r="E12" s="10" t="n"/>
      <c r="F12" s="12">
        <f>IF(OR(B12="",C12&lt;=0),"",IF($C$20="Snowball",SUMPRODUCT(($B$6:$B$15&lt;&gt;"")*($C$6:$C$15&gt;0)*(($C$6:$C$15&lt;C12)+(($C$6:$C$15=C12)*($D$6:$D$15&gt;D12))+(($C$6:$C$15=C12)*($D$6:$D$15=D12)*(ROW($C$6:$C$15)&lt;12))))+1,SUMPRODUCT(($B$6:$B$15&lt;&gt;"")*($C$6:$C$15&gt;0)*(($D$6:$D$15&gt;D12)+(($D$6:$D$15=D12)*($C$6:$C$15&lt;C12))+(($D$6:$D$15=D12)*($C$6:$C$15=C12)*(ROW($C$6:$C$15)&lt;12))))+1))</f>
        <v/>
      </c>
    </row>
    <row r="13">
      <c r="B13" s="9" t="n"/>
      <c r="C13" s="10" t="n"/>
      <c r="D13" s="11" t="n"/>
      <c r="E13" s="10" t="n"/>
      <c r="F13" s="12">
        <f>IF(OR(B13="",C13&lt;=0),"",IF($C$20="Snowball",SUMPRODUCT(($B$6:$B$15&lt;&gt;"")*($C$6:$C$15&gt;0)*(($C$6:$C$15&lt;C13)+(($C$6:$C$15=C13)*($D$6:$D$15&gt;D13))+(($C$6:$C$15=C13)*($D$6:$D$15=D13)*(ROW($C$6:$C$15)&lt;13))))+1,SUMPRODUCT(($B$6:$B$15&lt;&gt;"")*($C$6:$C$15&gt;0)*(($D$6:$D$15&gt;D13)+(($D$6:$D$15=D13)*($C$6:$C$15&lt;C13))+(($D$6:$D$15=D13)*($C$6:$C$15=C13)*(ROW($C$6:$C$15)&lt;13))))+1))</f>
        <v/>
      </c>
    </row>
    <row r="14">
      <c r="B14" s="9" t="n"/>
      <c r="C14" s="10" t="n"/>
      <c r="D14" s="11" t="n"/>
      <c r="E14" s="10" t="n"/>
      <c r="F14" s="12">
        <f>IF(OR(B14="",C14&lt;=0),"",IF($C$20="Snowball",SUMPRODUCT(($B$6:$B$15&lt;&gt;"")*($C$6:$C$15&gt;0)*(($C$6:$C$15&lt;C14)+(($C$6:$C$15=C14)*($D$6:$D$15&gt;D14))+(($C$6:$C$15=C14)*($D$6:$D$15=D14)*(ROW($C$6:$C$15)&lt;14))))+1,SUMPRODUCT(($B$6:$B$15&lt;&gt;"")*($C$6:$C$15&gt;0)*(($D$6:$D$15&gt;D14)+(($D$6:$D$15=D14)*($C$6:$C$15&lt;C14))+(($D$6:$D$15=D14)*($C$6:$C$15=C14)*(ROW($C$6:$C$15)&lt;14))))+1))</f>
        <v/>
      </c>
    </row>
    <row r="15">
      <c r="B15" s="9" t="n"/>
      <c r="C15" s="10" t="n"/>
      <c r="D15" s="11" t="n"/>
      <c r="E15" s="10" t="n"/>
      <c r="F15" s="12">
        <f>IF(OR(B15="",C15&lt;=0),"",IF($C$20="Snowball",SUMPRODUCT(($B$6:$B$15&lt;&gt;"")*($C$6:$C$15&gt;0)*(($C$6:$C$15&lt;C15)+(($C$6:$C$15=C15)*($D$6:$D$15&gt;D15))+(($C$6:$C$15=C15)*($D$6:$D$15=D15)*(ROW($C$6:$C$15)&lt;15))))+1,SUMPRODUCT(($B$6:$B$15&lt;&gt;"")*($C$6:$C$15&gt;0)*(($D$6:$D$15&gt;D15)+(($D$6:$D$15=D15)*($C$6:$C$15&lt;C15))+(($D$6:$D$15=D15)*($C$6:$C$15=C15)*(ROW($C$6:$C$15)&lt;15))))+1))</f>
        <v/>
      </c>
    </row>
    <row r="17">
      <c r="B17" s="14" t="inlineStr">
        <is>
          <t>Totals</t>
        </is>
      </c>
      <c r="C17" s="15">
        <f>SUM(C6:C15)</f>
        <v/>
      </c>
      <c r="E17" s="15">
        <f>SUM(E6:E15)</f>
        <v/>
      </c>
      <c r="F17" s="13" t="inlineStr">
        <is>
          <t>← your minimums</t>
        </is>
      </c>
    </row>
    <row r="19">
      <c r="B19" s="6" t="inlineStr">
        <is>
          <t>What you can pay each month</t>
        </is>
      </c>
      <c r="C19" s="16" t="n">
        <v>600</v>
      </c>
      <c r="D19" s="13" t="inlineStr">
        <is>
          <t>including minimums</t>
        </is>
      </c>
    </row>
    <row r="20">
      <c r="B20" s="6" t="inlineStr">
        <is>
          <t>Strategy</t>
        </is>
      </c>
      <c r="C20" s="17" t="inlineStr">
        <is>
          <t>Snowball</t>
        </is>
      </c>
      <c r="E20" s="18" t="inlineStr">
        <is>
          <t>You'll be debt-free in</t>
        </is>
      </c>
    </row>
    <row r="21" ht="28" customHeight="1">
      <c r="E21" s="19">
        <f>IF(ISNUMBER('Your plan'!C4),TEXT('Your plan'!C4,"mmmm yyyy"),'Your plan'!C4)</f>
        <v/>
      </c>
    </row>
    <row r="22">
      <c r="B22" s="20">
        <f>IF($C$19&lt;$E$17,"Your budget is below your minimums. Raise it to at least the number above.","")</f>
        <v/>
      </c>
    </row>
  </sheetData>
  <dataValidations count="1">
    <dataValidation sqref="C20" showDropDown="0" showInputMessage="0" showErrorMessage="0" allowBlank="0" type="list">
      <formula1>"Snowball,Avalanche"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2:BC315"/>
  <sheetViews>
    <sheetView showGridLines="0" workbookViewId="0">
      <pane xSplit="2" ySplit="15" topLeftCell="C1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1" customWidth="1" min="2" max="2"/>
    <col width="14" customWidth="1" min="3" max="3"/>
    <col width="13" customWidth="1" min="4" max="4"/>
    <col width="14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  <col width="11" customWidth="1" min="26" max="26"/>
    <col width="11" customWidth="1" min="27" max="27"/>
    <col width="11" customWidth="1" min="28" max="28"/>
    <col width="11" customWidth="1" min="29" max="29"/>
    <col width="11" customWidth="1" min="30" max="30"/>
    <col width="11" customWidth="1" min="31" max="31"/>
    <col width="11" customWidth="1" min="32" max="32"/>
    <col width="11" customWidth="1" min="33" max="33"/>
    <col width="11" customWidth="1" min="34" max="34"/>
    <col width="11" customWidth="1" min="35" max="35"/>
    <col width="11" customWidth="1" min="36" max="36"/>
    <col width="11" customWidth="1" min="37" max="37"/>
    <col width="11" customWidth="1" min="38" max="38"/>
    <col width="11" customWidth="1" min="39" max="39"/>
    <col width="11" customWidth="1" min="40" max="40"/>
    <col width="11" customWidth="1" min="41" max="41"/>
    <col width="11" customWidth="1" min="42" max="42"/>
    <col width="11" customWidth="1" min="43" max="43"/>
    <col width="11" customWidth="1" min="44" max="44"/>
    <col width="11" customWidth="1" min="45" max="45"/>
    <col width="11" customWidth="1" min="46" max="46"/>
    <col width="11" customWidth="1" min="47" max="47"/>
    <col width="11" customWidth="1" min="48" max="48"/>
    <col width="11" customWidth="1" min="49" max="49"/>
    <col width="11" customWidth="1" min="50" max="50"/>
    <col width="11" customWidth="1" min="51" max="51"/>
    <col width="11" customWidth="1" min="52" max="52"/>
    <col width="11" customWidth="1" min="53" max="53"/>
    <col width="11" customWidth="1" min="54" max="54"/>
    <col width="11" customWidth="1" min="55" max="55"/>
  </cols>
  <sheetData>
    <row r="2">
      <c r="B2" s="7" t="inlineStr">
        <is>
          <t>Your plan</t>
        </is>
      </c>
    </row>
    <row r="4">
      <c r="B4" s="6" t="inlineStr">
        <is>
          <t>You'll be debt-free in</t>
        </is>
      </c>
      <c r="C4" s="21">
        <f>IFERROR(IF('Your debts'!$C$19&lt;'Your debts'!$E$17,"—",INDEX($B$16:$B$315,MATCH(TRUE,INDEX($E$16:$E$315&lt;=0,0),0))),"—")</f>
        <v/>
      </c>
    </row>
    <row r="5">
      <c r="B5" s="2" t="inlineStr">
        <is>
          <t>That is</t>
        </is>
      </c>
      <c r="C5" s="2">
        <f>IFERROR(IF('Your debts'!$C$19&lt;'Your debts'!$E$17,"raise your budget",MATCH(TRUE,INDEX($E$16:$E$315&lt;=0,0),0)&amp;" months from now"),"more than 25 years")</f>
        <v/>
      </c>
    </row>
    <row r="6">
      <c r="B6" s="2" t="inlineStr">
        <is>
          <t>Total interest you'll pay</t>
        </is>
      </c>
      <c r="C6" s="22">
        <f>IFERROR(SUM($C$16:INDEX($C$16:$C$315,MATCH(TRUE,INDEX($E$16:$E$315&lt;=0,0),0))),"")</f>
        <v/>
      </c>
    </row>
    <row r="7">
      <c r="B7" s="2" t="inlineStr">
        <is>
          <t>Total you'll pay</t>
        </is>
      </c>
      <c r="C7" s="22">
        <f>IFERROR(SUM($D$16:INDEX($D$16:$D$315,MATCH(TRUE,INDEX($E$16:$E$315&lt;=0,0),0))),"")</f>
        <v/>
      </c>
    </row>
    <row r="9">
      <c r="B9" s="2" t="inlineStr">
        <is>
          <t>Paying only minimums instead</t>
        </is>
      </c>
      <c r="C9" s="2">
        <f>IFERROR(MAX(IFERROR(CEILING(NPER('Your debts'!$D$6/1200,-'Your debts'!$E$6,'Your debts'!$C$6),1),0),IFERROR(CEILING(NPER('Your debts'!$D$7/1200,-'Your debts'!$E$7,'Your debts'!$C$7),1),0),IFERROR(CEILING(NPER('Your debts'!$D$8/1200,-'Your debts'!$E$8,'Your debts'!$C$8),1),0),IFERROR(CEILING(NPER('Your debts'!$D$9/1200,-'Your debts'!$E$9,'Your debts'!$C$9),1),0),IFERROR(CEILING(NPER('Your debts'!$D$10/1200,-'Your debts'!$E$10,'Your debts'!$C$10),1),0),IFERROR(CEILING(NPER('Your debts'!$D$11/1200,-'Your debts'!$E$11,'Your debts'!$C$11),1),0),IFERROR(CEILING(NPER('Your debts'!$D$12/1200,-'Your debts'!$E$12,'Your debts'!$C$12),1),0),IFERROR(CEILING(NPER('Your debts'!$D$13/1200,-'Your debts'!$E$13,'Your debts'!$C$13),1),0),IFERROR(CEILING(NPER('Your debts'!$D$14/1200,-'Your debts'!$E$14,'Your debts'!$C$14),1),0),IFERROR(CEILING(NPER('Your debts'!$D$15/1200,-'Your debts'!$E$15,'Your debts'!$C$15),1),0))&amp;" months",  "")</f>
        <v/>
      </c>
      <c r="D9" s="2">
        <f>IFERROR("and $"&amp;TEXT(IFERROR('Your debts'!$E$6*CEILING(NPER('Your debts'!$D$6/1200,-'Your debts'!$E$6,'Your debts'!$C$6),1)-'Your debts'!$C$6,0)+IFERROR('Your debts'!$E$7*CEILING(NPER('Your debts'!$D$7/1200,-'Your debts'!$E$7,'Your debts'!$C$7),1)-'Your debts'!$C$7,0)+IFERROR('Your debts'!$E$8*CEILING(NPER('Your debts'!$D$8/1200,-'Your debts'!$E$8,'Your debts'!$C$8),1)-'Your debts'!$C$8,0)+IFERROR('Your debts'!$E$9*CEILING(NPER('Your debts'!$D$9/1200,-'Your debts'!$E$9,'Your debts'!$C$9),1)-'Your debts'!$C$9,0)+IFERROR('Your debts'!$E$10*CEILING(NPER('Your debts'!$D$10/1200,-'Your debts'!$E$10,'Your debts'!$C$10),1)-'Your debts'!$C$10,0)+IFERROR('Your debts'!$E$11*CEILING(NPER('Your debts'!$D$11/1200,-'Your debts'!$E$11,'Your debts'!$C$11),1)-'Your debts'!$C$11,0)+IFERROR('Your debts'!$E$12*CEILING(NPER('Your debts'!$D$12/1200,-'Your debts'!$E$12,'Your debts'!$C$12),1)-'Your debts'!$C$12,0)+IFERROR('Your debts'!$E$13*CEILING(NPER('Your debts'!$D$13/1200,-'Your debts'!$E$13,'Your debts'!$C$13),1)-'Your debts'!$C$13,0)+IFERROR('Your debts'!$E$14*CEILING(NPER('Your debts'!$D$14/1200,-'Your debts'!$E$14,'Your debts'!$C$14),1)-'Your debts'!$C$14,0)+IFERROR('Your debts'!$E$15*CEILING(NPER('Your debts'!$D$15/1200,-'Your debts'!$E$15,'Your debts'!$C$15),1)-'Your debts'!$C$15,0),"#,##0")&amp;" of interest","")</f>
        <v/>
      </c>
    </row>
    <row r="10">
      <c r="B10" s="6" t="inlineStr">
        <is>
          <t>So this plan saves you</t>
        </is>
      </c>
      <c r="C10" s="23">
        <f>IFERROR(MAX(IFERROR(CEILING(NPER('Your debts'!$D$6/1200,-'Your debts'!$E$6,'Your debts'!$C$6),1),0),IFERROR(CEILING(NPER('Your debts'!$D$7/1200,-'Your debts'!$E$7,'Your debts'!$C$7),1),0),IFERROR(CEILING(NPER('Your debts'!$D$8/1200,-'Your debts'!$E$8,'Your debts'!$C$8),1),0),IFERROR(CEILING(NPER('Your debts'!$D$9/1200,-'Your debts'!$E$9,'Your debts'!$C$9),1),0),IFERROR(CEILING(NPER('Your debts'!$D$10/1200,-'Your debts'!$E$10,'Your debts'!$C$10),1),0),IFERROR(CEILING(NPER('Your debts'!$D$11/1200,-'Your debts'!$E$11,'Your debts'!$C$11),1),0),IFERROR(CEILING(NPER('Your debts'!$D$12/1200,-'Your debts'!$E$12,'Your debts'!$C$12),1),0),IFERROR(CEILING(NPER('Your debts'!$D$13/1200,-'Your debts'!$E$13,'Your debts'!$C$13),1),0),IFERROR(CEILING(NPER('Your debts'!$D$14/1200,-'Your debts'!$E$14,'Your debts'!$C$14),1),0),IFERROR(CEILING(NPER('Your debts'!$D$15/1200,-'Your debts'!$E$15,'Your debts'!$C$15),1),0))-MATCH(TRUE,INDEX($E$16:$E$315&lt;=0,0),0)&amp;" months and $"&amp;TEXT((IFERROR('Your debts'!$E$6*CEILING(NPER('Your debts'!$D$6/1200,-'Your debts'!$E$6,'Your debts'!$C$6),1)-'Your debts'!$C$6,0)+IFERROR('Your debts'!$E$7*CEILING(NPER('Your debts'!$D$7/1200,-'Your debts'!$E$7,'Your debts'!$C$7),1)-'Your debts'!$C$7,0)+IFERROR('Your debts'!$E$8*CEILING(NPER('Your debts'!$D$8/1200,-'Your debts'!$E$8,'Your debts'!$C$8),1)-'Your debts'!$C$8,0)+IFERROR('Your debts'!$E$9*CEILING(NPER('Your debts'!$D$9/1200,-'Your debts'!$E$9,'Your debts'!$C$9),1)-'Your debts'!$C$9,0)+IFERROR('Your debts'!$E$10*CEILING(NPER('Your debts'!$D$10/1200,-'Your debts'!$E$10,'Your debts'!$C$10),1)-'Your debts'!$C$10,0)+IFERROR('Your debts'!$E$11*CEILING(NPER('Your debts'!$D$11/1200,-'Your debts'!$E$11,'Your debts'!$C$11),1)-'Your debts'!$C$11,0)+IFERROR('Your debts'!$E$12*CEILING(NPER('Your debts'!$D$12/1200,-'Your debts'!$E$12,'Your debts'!$C$12),1)-'Your debts'!$C$12,0)+IFERROR('Your debts'!$E$13*CEILING(NPER('Your debts'!$D$13/1200,-'Your debts'!$E$13,'Your debts'!$C$13),1)-'Your debts'!$C$13,0)+IFERROR('Your debts'!$E$14*CEILING(NPER('Your debts'!$D$14/1200,-'Your debts'!$E$14,'Your debts'!$C$14),1)-'Your debts'!$C$14,0)+IFERROR('Your debts'!$E$15*CEILING(NPER('Your debts'!$D$15/1200,-'Your debts'!$E$15,'Your debts'!$C$15),1)-'Your debts'!$C$15,0))-SUM($C$16:INDEX($C$16:$C$315,MATCH(TRUE,INDEX($E$16:$E$315&lt;=0,0),0))),"#,##0")&amp;" of interest","")</f>
        <v/>
      </c>
    </row>
    <row r="12">
      <c r="B12" s="4" t="inlineStr">
        <is>
          <t>Month by month</t>
        </is>
      </c>
    </row>
    <row r="13">
      <c r="F13" s="24">
        <f>IF('Your debts'!B6="","",'Your debts'!B6)</f>
        <v/>
      </c>
      <c r="K13" s="24">
        <f>IF('Your debts'!B7="","",'Your debts'!B7)</f>
        <v/>
      </c>
      <c r="P13" s="24">
        <f>IF('Your debts'!B8="","",'Your debts'!B8)</f>
        <v/>
      </c>
      <c r="U13" s="24">
        <f>IF('Your debts'!B9="","",'Your debts'!B9)</f>
        <v/>
      </c>
      <c r="Z13" s="24">
        <f>IF('Your debts'!B10="","",'Your debts'!B10)</f>
        <v/>
      </c>
      <c r="AE13" s="24">
        <f>IF('Your debts'!B11="","",'Your debts'!B11)</f>
        <v/>
      </c>
      <c r="AJ13" s="24">
        <f>IF('Your debts'!B12="","",'Your debts'!B12)</f>
        <v/>
      </c>
      <c r="AO13" s="24">
        <f>IF('Your debts'!B13="","",'Your debts'!B13)</f>
        <v/>
      </c>
      <c r="AT13" s="24">
        <f>IF('Your debts'!B14="","",'Your debts'!B14)</f>
        <v/>
      </c>
      <c r="AY13" s="24">
        <f>IF('Your debts'!B15="","",'Your debts'!B15)</f>
        <v/>
      </c>
    </row>
    <row r="14" ht="28" customHeight="1">
      <c r="A14" s="25" t="inlineStr">
        <is>
          <t>Month</t>
        </is>
      </c>
      <c r="B14" s="25" t="inlineStr">
        <is>
          <t>Date</t>
        </is>
      </c>
      <c r="C14" s="25" t="inlineStr">
        <is>
          <t>Interest added</t>
        </is>
      </c>
      <c r="D14" s="25" t="inlineStr">
        <is>
          <t>You paid</t>
        </is>
      </c>
      <c r="E14" s="25" t="inlineStr">
        <is>
          <t>Still owed</t>
        </is>
      </c>
      <c r="F14" s="26" t="inlineStr">
        <is>
          <t>+ interest</t>
        </is>
      </c>
      <c r="G14" s="26" t="inlineStr">
        <is>
          <t>minimum</t>
        </is>
      </c>
      <c r="H14" s="26" t="inlineStr">
        <is>
          <t>after min</t>
        </is>
      </c>
      <c r="I14" s="26" t="inlineStr">
        <is>
          <t>+ extra</t>
        </is>
      </c>
      <c r="J14" s="26" t="inlineStr">
        <is>
          <t>left</t>
        </is>
      </c>
      <c r="K14" s="26" t="inlineStr">
        <is>
          <t>+ interest</t>
        </is>
      </c>
      <c r="L14" s="26" t="inlineStr">
        <is>
          <t>minimum</t>
        </is>
      </c>
      <c r="M14" s="26" t="inlineStr">
        <is>
          <t>after min</t>
        </is>
      </c>
      <c r="N14" s="26" t="inlineStr">
        <is>
          <t>+ extra</t>
        </is>
      </c>
      <c r="O14" s="26" t="inlineStr">
        <is>
          <t>left</t>
        </is>
      </c>
      <c r="P14" s="26" t="inlineStr">
        <is>
          <t>+ interest</t>
        </is>
      </c>
      <c r="Q14" s="26" t="inlineStr">
        <is>
          <t>minimum</t>
        </is>
      </c>
      <c r="R14" s="26" t="inlineStr">
        <is>
          <t>after min</t>
        </is>
      </c>
      <c r="S14" s="26" t="inlineStr">
        <is>
          <t>+ extra</t>
        </is>
      </c>
      <c r="T14" s="26" t="inlineStr">
        <is>
          <t>left</t>
        </is>
      </c>
      <c r="U14" s="26" t="inlineStr">
        <is>
          <t>+ interest</t>
        </is>
      </c>
      <c r="V14" s="26" t="inlineStr">
        <is>
          <t>minimum</t>
        </is>
      </c>
      <c r="W14" s="26" t="inlineStr">
        <is>
          <t>after min</t>
        </is>
      </c>
      <c r="X14" s="26" t="inlineStr">
        <is>
          <t>+ extra</t>
        </is>
      </c>
      <c r="Y14" s="26" t="inlineStr">
        <is>
          <t>left</t>
        </is>
      </c>
      <c r="Z14" s="26" t="inlineStr">
        <is>
          <t>+ interest</t>
        </is>
      </c>
      <c r="AA14" s="26" t="inlineStr">
        <is>
          <t>minimum</t>
        </is>
      </c>
      <c r="AB14" s="26" t="inlineStr">
        <is>
          <t>after min</t>
        </is>
      </c>
      <c r="AC14" s="26" t="inlineStr">
        <is>
          <t>+ extra</t>
        </is>
      </c>
      <c r="AD14" s="26" t="inlineStr">
        <is>
          <t>left</t>
        </is>
      </c>
      <c r="AE14" s="26" t="inlineStr">
        <is>
          <t>+ interest</t>
        </is>
      </c>
      <c r="AF14" s="26" t="inlineStr">
        <is>
          <t>minimum</t>
        </is>
      </c>
      <c r="AG14" s="26" t="inlineStr">
        <is>
          <t>after min</t>
        </is>
      </c>
      <c r="AH14" s="26" t="inlineStr">
        <is>
          <t>+ extra</t>
        </is>
      </c>
      <c r="AI14" s="26" t="inlineStr">
        <is>
          <t>left</t>
        </is>
      </c>
      <c r="AJ14" s="26" t="inlineStr">
        <is>
          <t>+ interest</t>
        </is>
      </c>
      <c r="AK14" s="26" t="inlineStr">
        <is>
          <t>minimum</t>
        </is>
      </c>
      <c r="AL14" s="26" t="inlineStr">
        <is>
          <t>after min</t>
        </is>
      </c>
      <c r="AM14" s="26" t="inlineStr">
        <is>
          <t>+ extra</t>
        </is>
      </c>
      <c r="AN14" s="26" t="inlineStr">
        <is>
          <t>left</t>
        </is>
      </c>
      <c r="AO14" s="26" t="inlineStr">
        <is>
          <t>+ interest</t>
        </is>
      </c>
      <c r="AP14" s="26" t="inlineStr">
        <is>
          <t>minimum</t>
        </is>
      </c>
      <c r="AQ14" s="26" t="inlineStr">
        <is>
          <t>after min</t>
        </is>
      </c>
      <c r="AR14" s="26" t="inlineStr">
        <is>
          <t>+ extra</t>
        </is>
      </c>
      <c r="AS14" s="26" t="inlineStr">
        <is>
          <t>left</t>
        </is>
      </c>
      <c r="AT14" s="26" t="inlineStr">
        <is>
          <t>+ interest</t>
        </is>
      </c>
      <c r="AU14" s="26" t="inlineStr">
        <is>
          <t>minimum</t>
        </is>
      </c>
      <c r="AV14" s="26" t="inlineStr">
        <is>
          <t>after min</t>
        </is>
      </c>
      <c r="AW14" s="26" t="inlineStr">
        <is>
          <t>+ extra</t>
        </is>
      </c>
      <c r="AX14" s="26" t="inlineStr">
        <is>
          <t>left</t>
        </is>
      </c>
      <c r="AY14" s="26" t="inlineStr">
        <is>
          <t>+ interest</t>
        </is>
      </c>
      <c r="AZ14" s="26" t="inlineStr">
        <is>
          <t>minimum</t>
        </is>
      </c>
      <c r="BA14" s="26" t="inlineStr">
        <is>
          <t>after min</t>
        </is>
      </c>
      <c r="BB14" s="26" t="inlineStr">
        <is>
          <t>+ extra</t>
        </is>
      </c>
      <c r="BC14" s="26" t="inlineStr">
        <is>
          <t>left</t>
        </is>
      </c>
    </row>
    <row r="15">
      <c r="A15" s="13" t="n">
        <v>0</v>
      </c>
      <c r="B15" s="27">
        <f>TODAY()</f>
        <v/>
      </c>
      <c r="E15" s="28">
        <f>J15+O15+T15+Y15+AD15+AI15+AN15+AS15+AX15+BC15</f>
        <v/>
      </c>
      <c r="J15" s="29">
        <f>IF('Your debts'!B6="",0,'Your debts'!C6)</f>
        <v/>
      </c>
      <c r="O15" s="29">
        <f>IF('Your debts'!B7="",0,'Your debts'!C7)</f>
        <v/>
      </c>
      <c r="T15" s="29">
        <f>IF('Your debts'!B8="",0,'Your debts'!C8)</f>
        <v/>
      </c>
      <c r="Y15" s="29">
        <f>IF('Your debts'!B9="",0,'Your debts'!C9)</f>
        <v/>
      </c>
      <c r="AD15" s="29">
        <f>IF('Your debts'!B10="",0,'Your debts'!C10)</f>
        <v/>
      </c>
      <c r="AI15" s="29">
        <f>IF('Your debts'!B11="",0,'Your debts'!C11)</f>
        <v/>
      </c>
      <c r="AN15" s="29">
        <f>IF('Your debts'!B12="",0,'Your debts'!C12)</f>
        <v/>
      </c>
      <c r="AS15" s="29">
        <f>IF('Your debts'!B13="",0,'Your debts'!C13)</f>
        <v/>
      </c>
      <c r="AX15" s="29">
        <f>IF('Your debts'!B14="",0,'Your debts'!C14)</f>
        <v/>
      </c>
      <c r="BC15" s="29">
        <f>IF('Your debts'!B15="",0,'Your debts'!C15)</f>
        <v/>
      </c>
    </row>
    <row r="16">
      <c r="A16" s="30" t="n">
        <v>1</v>
      </c>
      <c r="B16" s="31">
        <f>EDATE($B$15,1)</f>
        <v/>
      </c>
      <c r="C16" s="32">
        <f>IF(J15&lt;=0,0,F16-J15)+IF(O15&lt;=0,0,K16-O15)+IF(T15&lt;=0,0,P16-T15)+IF(Y15&lt;=0,0,U16-Y15)+IF(AD15&lt;=0,0,Z16-AD15)+IF(AI15&lt;=0,0,AE16-AI15)+IF(AN15&lt;=0,0,AJ16-AN15)+IF(AS15&lt;=0,0,AO16-AS15)+IF(AX15&lt;=0,0,AT16-AX15)+IF(BC15&lt;=0,0,AY16-BC15)</f>
        <v/>
      </c>
      <c r="D16" s="32">
        <f>G16+I16+L16+N16+Q16+S16+V16+X16+AA16+AC16+AF16+AH16+AK16+AM16+AP16+AR16+AU16+AW16+AZ16+BB16</f>
        <v/>
      </c>
      <c r="E16" s="32">
        <f>J16+O16+T16+Y16+AD16+AI16+AN16+AS16+AX16+BC16</f>
        <v/>
      </c>
      <c r="F16" s="33">
        <f>IF(J15&lt;=0,0,ROUND(J15*(1+'Your debts'!$D$6/1200),2))</f>
        <v/>
      </c>
      <c r="G16" s="33">
        <f>IF(F16&lt;=0,0,MIN('Your debts'!$E$6,F16))</f>
        <v/>
      </c>
      <c r="H16" s="33">
        <f>F16-G16</f>
        <v/>
      </c>
      <c r="I16" s="33">
        <f>IF('Your debts'!$F$6="",0,MIN(H16,MAX(0,MAX(0,'Your debts'!$C$19-(G16+L16+Q16+V16+AA16+AF16+AK16+AP16+AU16+AZ16))-(IF(AND('Your debts'!$F$7&lt;&gt;"",'Your debts'!$F$6&lt;&gt;"",'Your debts'!$F$7&lt;'Your debts'!$F$6),M16,0)+IF(AND('Your debts'!$F$8&lt;&gt;"",'Your debts'!$F$6&lt;&gt;"",'Your debts'!$F$8&lt;'Your debts'!$F$6),R16,0)+IF(AND('Your debts'!$F$9&lt;&gt;"",'Your debts'!$F$6&lt;&gt;"",'Your debts'!$F$9&lt;'Your debts'!$F$6),W16,0)+IF(AND('Your debts'!$F$10&lt;&gt;"",'Your debts'!$F$6&lt;&gt;"",'Your debts'!$F$10&lt;'Your debts'!$F$6),AB16,0)+IF(AND('Your debts'!$F$11&lt;&gt;"",'Your debts'!$F$6&lt;&gt;"",'Your debts'!$F$11&lt;'Your debts'!$F$6),AG16,0)+IF(AND('Your debts'!$F$12&lt;&gt;"",'Your debts'!$F$6&lt;&gt;"",'Your debts'!$F$12&lt;'Your debts'!$F$6),AL16,0)+IF(AND('Your debts'!$F$13&lt;&gt;"",'Your debts'!$F$6&lt;&gt;"",'Your debts'!$F$13&lt;'Your debts'!$F$6),AQ16,0)+IF(AND('Your debts'!$F$14&lt;&gt;"",'Your debts'!$F$6&lt;&gt;"",'Your debts'!$F$14&lt;'Your debts'!$F$6),AV16,0)+IF(AND('Your debts'!$F$15&lt;&gt;"",'Your debts'!$F$6&lt;&gt;"",'Your debts'!$F$15&lt;'Your debts'!$F$6),BA16,0)))))</f>
        <v/>
      </c>
      <c r="J16" s="33">
        <f>H16-I16</f>
        <v/>
      </c>
      <c r="K16" s="33">
        <f>IF(O15&lt;=0,0,ROUND(O15*(1+'Your debts'!$D$7/1200),2))</f>
        <v/>
      </c>
      <c r="L16" s="33">
        <f>IF(K16&lt;=0,0,MIN('Your debts'!$E$7,K16))</f>
        <v/>
      </c>
      <c r="M16" s="33">
        <f>K16-L16</f>
        <v/>
      </c>
      <c r="N16" s="33">
        <f>IF('Your debts'!$F$7="",0,MIN(M16,MAX(0,MAX(0,'Your debts'!$C$19-(G16+L16+Q16+V16+AA16+AF16+AK16+AP16+AU16+AZ16))-(IF(AND('Your debts'!$F$6&lt;&gt;"",'Your debts'!$F$7&lt;&gt;"",'Your debts'!$F$6&lt;'Your debts'!$F$7),H16,0)+IF(AND('Your debts'!$F$8&lt;&gt;"",'Your debts'!$F$7&lt;&gt;"",'Your debts'!$F$8&lt;'Your debts'!$F$7),R16,0)+IF(AND('Your debts'!$F$9&lt;&gt;"",'Your debts'!$F$7&lt;&gt;"",'Your debts'!$F$9&lt;'Your debts'!$F$7),W16,0)+IF(AND('Your debts'!$F$10&lt;&gt;"",'Your debts'!$F$7&lt;&gt;"",'Your debts'!$F$10&lt;'Your debts'!$F$7),AB16,0)+IF(AND('Your debts'!$F$11&lt;&gt;"",'Your debts'!$F$7&lt;&gt;"",'Your debts'!$F$11&lt;'Your debts'!$F$7),AG16,0)+IF(AND('Your debts'!$F$12&lt;&gt;"",'Your debts'!$F$7&lt;&gt;"",'Your debts'!$F$12&lt;'Your debts'!$F$7),AL16,0)+IF(AND('Your debts'!$F$13&lt;&gt;"",'Your debts'!$F$7&lt;&gt;"",'Your debts'!$F$13&lt;'Your debts'!$F$7),AQ16,0)+IF(AND('Your debts'!$F$14&lt;&gt;"",'Your debts'!$F$7&lt;&gt;"",'Your debts'!$F$14&lt;'Your debts'!$F$7),AV16,0)+IF(AND('Your debts'!$F$15&lt;&gt;"",'Your debts'!$F$7&lt;&gt;"",'Your debts'!$F$15&lt;'Your debts'!$F$7),BA16,0)))))</f>
        <v/>
      </c>
      <c r="O16" s="33">
        <f>M16-N16</f>
        <v/>
      </c>
      <c r="P16" s="33">
        <f>IF(T15&lt;=0,0,ROUND(T15*(1+'Your debts'!$D$8/1200),2))</f>
        <v/>
      </c>
      <c r="Q16" s="33">
        <f>IF(P16&lt;=0,0,MIN('Your debts'!$E$8,P16))</f>
        <v/>
      </c>
      <c r="R16" s="33">
        <f>P16-Q16</f>
        <v/>
      </c>
      <c r="S16" s="33">
        <f>IF('Your debts'!$F$8="",0,MIN(R16,MAX(0,MAX(0,'Your debts'!$C$19-(G16+L16+Q16+V16+AA16+AF16+AK16+AP16+AU16+AZ16))-(IF(AND('Your debts'!$F$6&lt;&gt;"",'Your debts'!$F$8&lt;&gt;"",'Your debts'!$F$6&lt;'Your debts'!$F$8),H16,0)+IF(AND('Your debts'!$F$7&lt;&gt;"",'Your debts'!$F$8&lt;&gt;"",'Your debts'!$F$7&lt;'Your debts'!$F$8),M16,0)+IF(AND('Your debts'!$F$9&lt;&gt;"",'Your debts'!$F$8&lt;&gt;"",'Your debts'!$F$9&lt;'Your debts'!$F$8),W16,0)+IF(AND('Your debts'!$F$10&lt;&gt;"",'Your debts'!$F$8&lt;&gt;"",'Your debts'!$F$10&lt;'Your debts'!$F$8),AB16,0)+IF(AND('Your debts'!$F$11&lt;&gt;"",'Your debts'!$F$8&lt;&gt;"",'Your debts'!$F$11&lt;'Your debts'!$F$8),AG16,0)+IF(AND('Your debts'!$F$12&lt;&gt;"",'Your debts'!$F$8&lt;&gt;"",'Your debts'!$F$12&lt;'Your debts'!$F$8),AL16,0)+IF(AND('Your debts'!$F$13&lt;&gt;"",'Your debts'!$F$8&lt;&gt;"",'Your debts'!$F$13&lt;'Your debts'!$F$8),AQ16,0)+IF(AND('Your debts'!$F$14&lt;&gt;"",'Your debts'!$F$8&lt;&gt;"",'Your debts'!$F$14&lt;'Your debts'!$F$8),AV16,0)+IF(AND('Your debts'!$F$15&lt;&gt;"",'Your debts'!$F$8&lt;&gt;"",'Your debts'!$F$15&lt;'Your debts'!$F$8),BA16,0)))))</f>
        <v/>
      </c>
      <c r="T16" s="33">
        <f>R16-S16</f>
        <v/>
      </c>
      <c r="U16" s="33">
        <f>IF(Y15&lt;=0,0,ROUND(Y15*(1+'Your debts'!$D$9/1200),2))</f>
        <v/>
      </c>
      <c r="V16" s="33">
        <f>IF(U16&lt;=0,0,MIN('Your debts'!$E$9,U16))</f>
        <v/>
      </c>
      <c r="W16" s="33">
        <f>U16-V16</f>
        <v/>
      </c>
      <c r="X16" s="33">
        <f>IF('Your debts'!$F$9="",0,MIN(W16,MAX(0,MAX(0,'Your debts'!$C$19-(G16+L16+Q16+V16+AA16+AF16+AK16+AP16+AU16+AZ16))-(IF(AND('Your debts'!$F$6&lt;&gt;"",'Your debts'!$F$9&lt;&gt;"",'Your debts'!$F$6&lt;'Your debts'!$F$9),H16,0)+IF(AND('Your debts'!$F$7&lt;&gt;"",'Your debts'!$F$9&lt;&gt;"",'Your debts'!$F$7&lt;'Your debts'!$F$9),M16,0)+IF(AND('Your debts'!$F$8&lt;&gt;"",'Your debts'!$F$9&lt;&gt;"",'Your debts'!$F$8&lt;'Your debts'!$F$9),R16,0)+IF(AND('Your debts'!$F$10&lt;&gt;"",'Your debts'!$F$9&lt;&gt;"",'Your debts'!$F$10&lt;'Your debts'!$F$9),AB16,0)+IF(AND('Your debts'!$F$11&lt;&gt;"",'Your debts'!$F$9&lt;&gt;"",'Your debts'!$F$11&lt;'Your debts'!$F$9),AG16,0)+IF(AND('Your debts'!$F$12&lt;&gt;"",'Your debts'!$F$9&lt;&gt;"",'Your debts'!$F$12&lt;'Your debts'!$F$9),AL16,0)+IF(AND('Your debts'!$F$13&lt;&gt;"",'Your debts'!$F$9&lt;&gt;"",'Your debts'!$F$13&lt;'Your debts'!$F$9),AQ16,0)+IF(AND('Your debts'!$F$14&lt;&gt;"",'Your debts'!$F$9&lt;&gt;"",'Your debts'!$F$14&lt;'Your debts'!$F$9),AV16,0)+IF(AND('Your debts'!$F$15&lt;&gt;"",'Your debts'!$F$9&lt;&gt;"",'Your debts'!$F$15&lt;'Your debts'!$F$9),BA16,0)))))</f>
        <v/>
      </c>
      <c r="Y16" s="33">
        <f>W16-X16</f>
        <v/>
      </c>
      <c r="Z16" s="33">
        <f>IF(AD15&lt;=0,0,ROUND(AD15*(1+'Your debts'!$D$10/1200),2))</f>
        <v/>
      </c>
      <c r="AA16" s="33">
        <f>IF(Z16&lt;=0,0,MIN('Your debts'!$E$10,Z16))</f>
        <v/>
      </c>
      <c r="AB16" s="33">
        <f>Z16-AA16</f>
        <v/>
      </c>
      <c r="AC16" s="33">
        <f>IF('Your debts'!$F$10="",0,MIN(AB16,MAX(0,MAX(0,'Your debts'!$C$19-(G16+L16+Q16+V16+AA16+AF16+AK16+AP16+AU16+AZ16))-(IF(AND('Your debts'!$F$6&lt;&gt;"",'Your debts'!$F$10&lt;&gt;"",'Your debts'!$F$6&lt;'Your debts'!$F$10),H16,0)+IF(AND('Your debts'!$F$7&lt;&gt;"",'Your debts'!$F$10&lt;&gt;"",'Your debts'!$F$7&lt;'Your debts'!$F$10),M16,0)+IF(AND('Your debts'!$F$8&lt;&gt;"",'Your debts'!$F$10&lt;&gt;"",'Your debts'!$F$8&lt;'Your debts'!$F$10),R16,0)+IF(AND('Your debts'!$F$9&lt;&gt;"",'Your debts'!$F$10&lt;&gt;"",'Your debts'!$F$9&lt;'Your debts'!$F$10),W16,0)+IF(AND('Your debts'!$F$11&lt;&gt;"",'Your debts'!$F$10&lt;&gt;"",'Your debts'!$F$11&lt;'Your debts'!$F$10),AG16,0)+IF(AND('Your debts'!$F$12&lt;&gt;"",'Your debts'!$F$10&lt;&gt;"",'Your debts'!$F$12&lt;'Your debts'!$F$10),AL16,0)+IF(AND('Your debts'!$F$13&lt;&gt;"",'Your debts'!$F$10&lt;&gt;"",'Your debts'!$F$13&lt;'Your debts'!$F$10),AQ16,0)+IF(AND('Your debts'!$F$14&lt;&gt;"",'Your debts'!$F$10&lt;&gt;"",'Your debts'!$F$14&lt;'Your debts'!$F$10),AV16,0)+IF(AND('Your debts'!$F$15&lt;&gt;"",'Your debts'!$F$10&lt;&gt;"",'Your debts'!$F$15&lt;'Your debts'!$F$10),BA16,0)))))</f>
        <v/>
      </c>
      <c r="AD16" s="33">
        <f>AB16-AC16</f>
        <v/>
      </c>
      <c r="AE16" s="33">
        <f>IF(AI15&lt;=0,0,ROUND(AI15*(1+'Your debts'!$D$11/1200),2))</f>
        <v/>
      </c>
      <c r="AF16" s="33">
        <f>IF(AE16&lt;=0,0,MIN('Your debts'!$E$11,AE16))</f>
        <v/>
      </c>
      <c r="AG16" s="33">
        <f>AE16-AF16</f>
        <v/>
      </c>
      <c r="AH16" s="33">
        <f>IF('Your debts'!$F$11="",0,MIN(AG16,MAX(0,MAX(0,'Your debts'!$C$19-(G16+L16+Q16+V16+AA16+AF16+AK16+AP16+AU16+AZ16))-(IF(AND('Your debts'!$F$6&lt;&gt;"",'Your debts'!$F$11&lt;&gt;"",'Your debts'!$F$6&lt;'Your debts'!$F$11),H16,0)+IF(AND('Your debts'!$F$7&lt;&gt;"",'Your debts'!$F$11&lt;&gt;"",'Your debts'!$F$7&lt;'Your debts'!$F$11),M16,0)+IF(AND('Your debts'!$F$8&lt;&gt;"",'Your debts'!$F$11&lt;&gt;"",'Your debts'!$F$8&lt;'Your debts'!$F$11),R16,0)+IF(AND('Your debts'!$F$9&lt;&gt;"",'Your debts'!$F$11&lt;&gt;"",'Your debts'!$F$9&lt;'Your debts'!$F$11),W16,0)+IF(AND('Your debts'!$F$10&lt;&gt;"",'Your debts'!$F$11&lt;&gt;"",'Your debts'!$F$10&lt;'Your debts'!$F$11),AB16,0)+IF(AND('Your debts'!$F$12&lt;&gt;"",'Your debts'!$F$11&lt;&gt;"",'Your debts'!$F$12&lt;'Your debts'!$F$11),AL16,0)+IF(AND('Your debts'!$F$13&lt;&gt;"",'Your debts'!$F$11&lt;&gt;"",'Your debts'!$F$13&lt;'Your debts'!$F$11),AQ16,0)+IF(AND('Your debts'!$F$14&lt;&gt;"",'Your debts'!$F$11&lt;&gt;"",'Your debts'!$F$14&lt;'Your debts'!$F$11),AV16,0)+IF(AND('Your debts'!$F$15&lt;&gt;"",'Your debts'!$F$11&lt;&gt;"",'Your debts'!$F$15&lt;'Your debts'!$F$11),BA16,0)))))</f>
        <v/>
      </c>
      <c r="AI16" s="33">
        <f>AG16-AH16</f>
        <v/>
      </c>
      <c r="AJ16" s="33">
        <f>IF(AN15&lt;=0,0,ROUND(AN15*(1+'Your debts'!$D$12/1200),2))</f>
        <v/>
      </c>
      <c r="AK16" s="33">
        <f>IF(AJ16&lt;=0,0,MIN('Your debts'!$E$12,AJ16))</f>
        <v/>
      </c>
      <c r="AL16" s="33">
        <f>AJ16-AK16</f>
        <v/>
      </c>
      <c r="AM16" s="33">
        <f>IF('Your debts'!$F$12="",0,MIN(AL16,MAX(0,MAX(0,'Your debts'!$C$19-(G16+L16+Q16+V16+AA16+AF16+AK16+AP16+AU16+AZ16))-(IF(AND('Your debts'!$F$6&lt;&gt;"",'Your debts'!$F$12&lt;&gt;"",'Your debts'!$F$6&lt;'Your debts'!$F$12),H16,0)+IF(AND('Your debts'!$F$7&lt;&gt;"",'Your debts'!$F$12&lt;&gt;"",'Your debts'!$F$7&lt;'Your debts'!$F$12),M16,0)+IF(AND('Your debts'!$F$8&lt;&gt;"",'Your debts'!$F$12&lt;&gt;"",'Your debts'!$F$8&lt;'Your debts'!$F$12),R16,0)+IF(AND('Your debts'!$F$9&lt;&gt;"",'Your debts'!$F$12&lt;&gt;"",'Your debts'!$F$9&lt;'Your debts'!$F$12),W16,0)+IF(AND('Your debts'!$F$10&lt;&gt;"",'Your debts'!$F$12&lt;&gt;"",'Your debts'!$F$10&lt;'Your debts'!$F$12),AB16,0)+IF(AND('Your debts'!$F$11&lt;&gt;"",'Your debts'!$F$12&lt;&gt;"",'Your debts'!$F$11&lt;'Your debts'!$F$12),AG16,0)+IF(AND('Your debts'!$F$13&lt;&gt;"",'Your debts'!$F$12&lt;&gt;"",'Your debts'!$F$13&lt;'Your debts'!$F$12),AQ16,0)+IF(AND('Your debts'!$F$14&lt;&gt;"",'Your debts'!$F$12&lt;&gt;"",'Your debts'!$F$14&lt;'Your debts'!$F$12),AV16,0)+IF(AND('Your debts'!$F$15&lt;&gt;"",'Your debts'!$F$12&lt;&gt;"",'Your debts'!$F$15&lt;'Your debts'!$F$12),BA16,0)))))</f>
        <v/>
      </c>
      <c r="AN16" s="33">
        <f>AL16-AM16</f>
        <v/>
      </c>
      <c r="AO16" s="33">
        <f>IF(AS15&lt;=0,0,ROUND(AS15*(1+'Your debts'!$D$13/1200),2))</f>
        <v/>
      </c>
      <c r="AP16" s="33">
        <f>IF(AO16&lt;=0,0,MIN('Your debts'!$E$13,AO16))</f>
        <v/>
      </c>
      <c r="AQ16" s="33">
        <f>AO16-AP16</f>
        <v/>
      </c>
      <c r="AR16" s="33">
        <f>IF('Your debts'!$F$13="",0,MIN(AQ16,MAX(0,MAX(0,'Your debts'!$C$19-(G16+L16+Q16+V16+AA16+AF16+AK16+AP16+AU16+AZ16))-(IF(AND('Your debts'!$F$6&lt;&gt;"",'Your debts'!$F$13&lt;&gt;"",'Your debts'!$F$6&lt;'Your debts'!$F$13),H16,0)+IF(AND('Your debts'!$F$7&lt;&gt;"",'Your debts'!$F$13&lt;&gt;"",'Your debts'!$F$7&lt;'Your debts'!$F$13),M16,0)+IF(AND('Your debts'!$F$8&lt;&gt;"",'Your debts'!$F$13&lt;&gt;"",'Your debts'!$F$8&lt;'Your debts'!$F$13),R16,0)+IF(AND('Your debts'!$F$9&lt;&gt;"",'Your debts'!$F$13&lt;&gt;"",'Your debts'!$F$9&lt;'Your debts'!$F$13),W16,0)+IF(AND('Your debts'!$F$10&lt;&gt;"",'Your debts'!$F$13&lt;&gt;"",'Your debts'!$F$10&lt;'Your debts'!$F$13),AB16,0)+IF(AND('Your debts'!$F$11&lt;&gt;"",'Your debts'!$F$13&lt;&gt;"",'Your debts'!$F$11&lt;'Your debts'!$F$13),AG16,0)+IF(AND('Your debts'!$F$12&lt;&gt;"",'Your debts'!$F$13&lt;&gt;"",'Your debts'!$F$12&lt;'Your debts'!$F$13),AL16,0)+IF(AND('Your debts'!$F$14&lt;&gt;"",'Your debts'!$F$13&lt;&gt;"",'Your debts'!$F$14&lt;'Your debts'!$F$13),AV16,0)+IF(AND('Your debts'!$F$15&lt;&gt;"",'Your debts'!$F$13&lt;&gt;"",'Your debts'!$F$15&lt;'Your debts'!$F$13),BA16,0)))))</f>
        <v/>
      </c>
      <c r="AS16" s="33">
        <f>AQ16-AR16</f>
        <v/>
      </c>
      <c r="AT16" s="33">
        <f>IF(AX15&lt;=0,0,ROUND(AX15*(1+'Your debts'!$D$14/1200),2))</f>
        <v/>
      </c>
      <c r="AU16" s="33">
        <f>IF(AT16&lt;=0,0,MIN('Your debts'!$E$14,AT16))</f>
        <v/>
      </c>
      <c r="AV16" s="33">
        <f>AT16-AU16</f>
        <v/>
      </c>
      <c r="AW16" s="33">
        <f>IF('Your debts'!$F$14="",0,MIN(AV16,MAX(0,MAX(0,'Your debts'!$C$19-(G16+L16+Q16+V16+AA16+AF16+AK16+AP16+AU16+AZ16))-(IF(AND('Your debts'!$F$6&lt;&gt;"",'Your debts'!$F$14&lt;&gt;"",'Your debts'!$F$6&lt;'Your debts'!$F$14),H16,0)+IF(AND('Your debts'!$F$7&lt;&gt;"",'Your debts'!$F$14&lt;&gt;"",'Your debts'!$F$7&lt;'Your debts'!$F$14),M16,0)+IF(AND('Your debts'!$F$8&lt;&gt;"",'Your debts'!$F$14&lt;&gt;"",'Your debts'!$F$8&lt;'Your debts'!$F$14),R16,0)+IF(AND('Your debts'!$F$9&lt;&gt;"",'Your debts'!$F$14&lt;&gt;"",'Your debts'!$F$9&lt;'Your debts'!$F$14),W16,0)+IF(AND('Your debts'!$F$10&lt;&gt;"",'Your debts'!$F$14&lt;&gt;"",'Your debts'!$F$10&lt;'Your debts'!$F$14),AB16,0)+IF(AND('Your debts'!$F$11&lt;&gt;"",'Your debts'!$F$14&lt;&gt;"",'Your debts'!$F$11&lt;'Your debts'!$F$14),AG16,0)+IF(AND('Your debts'!$F$12&lt;&gt;"",'Your debts'!$F$14&lt;&gt;"",'Your debts'!$F$12&lt;'Your debts'!$F$14),AL16,0)+IF(AND('Your debts'!$F$13&lt;&gt;"",'Your debts'!$F$14&lt;&gt;"",'Your debts'!$F$13&lt;'Your debts'!$F$14),AQ16,0)+IF(AND('Your debts'!$F$15&lt;&gt;"",'Your debts'!$F$14&lt;&gt;"",'Your debts'!$F$15&lt;'Your debts'!$F$14),BA16,0)))))</f>
        <v/>
      </c>
      <c r="AX16" s="33">
        <f>AV16-AW16</f>
        <v/>
      </c>
      <c r="AY16" s="33">
        <f>IF(BC15&lt;=0,0,ROUND(BC15*(1+'Your debts'!$D$15/1200),2))</f>
        <v/>
      </c>
      <c r="AZ16" s="33">
        <f>IF(AY16&lt;=0,0,MIN('Your debts'!$E$15,AY16))</f>
        <v/>
      </c>
      <c r="BA16" s="33">
        <f>AY16-AZ16</f>
        <v/>
      </c>
      <c r="BB16" s="33">
        <f>IF('Your debts'!$F$15="",0,MIN(BA16,MAX(0,MAX(0,'Your debts'!$C$19-(G16+L16+Q16+V16+AA16+AF16+AK16+AP16+AU16+AZ16))-(IF(AND('Your debts'!$F$6&lt;&gt;"",'Your debts'!$F$15&lt;&gt;"",'Your debts'!$F$6&lt;'Your debts'!$F$15),H16,0)+IF(AND('Your debts'!$F$7&lt;&gt;"",'Your debts'!$F$15&lt;&gt;"",'Your debts'!$F$7&lt;'Your debts'!$F$15),M16,0)+IF(AND('Your debts'!$F$8&lt;&gt;"",'Your debts'!$F$15&lt;&gt;"",'Your debts'!$F$8&lt;'Your debts'!$F$15),R16,0)+IF(AND('Your debts'!$F$9&lt;&gt;"",'Your debts'!$F$15&lt;&gt;"",'Your debts'!$F$9&lt;'Your debts'!$F$15),W16,0)+IF(AND('Your debts'!$F$10&lt;&gt;"",'Your debts'!$F$15&lt;&gt;"",'Your debts'!$F$10&lt;'Your debts'!$F$15),AB16,0)+IF(AND('Your debts'!$F$11&lt;&gt;"",'Your debts'!$F$15&lt;&gt;"",'Your debts'!$F$11&lt;'Your debts'!$F$15),AG16,0)+IF(AND('Your debts'!$F$12&lt;&gt;"",'Your debts'!$F$15&lt;&gt;"",'Your debts'!$F$12&lt;'Your debts'!$F$15),AL16,0)+IF(AND('Your debts'!$F$13&lt;&gt;"",'Your debts'!$F$15&lt;&gt;"",'Your debts'!$F$13&lt;'Your debts'!$F$15),AQ16,0)+IF(AND('Your debts'!$F$14&lt;&gt;"",'Your debts'!$F$15&lt;&gt;"",'Your debts'!$F$14&lt;'Your debts'!$F$15),AV16,0)))))</f>
        <v/>
      </c>
      <c r="BC16" s="33">
        <f>BA16-BB16</f>
        <v/>
      </c>
    </row>
    <row r="17">
      <c r="A17" s="30" t="n">
        <v>2</v>
      </c>
      <c r="B17" s="31">
        <f>EDATE($B$15,2)</f>
        <v/>
      </c>
      <c r="C17" s="32">
        <f>IF(J16&lt;=0,0,F17-J16)+IF(O16&lt;=0,0,K17-O16)+IF(T16&lt;=0,0,P17-T16)+IF(Y16&lt;=0,0,U17-Y16)+IF(AD16&lt;=0,0,Z17-AD16)+IF(AI16&lt;=0,0,AE17-AI16)+IF(AN16&lt;=0,0,AJ17-AN16)+IF(AS16&lt;=0,0,AO17-AS16)+IF(AX16&lt;=0,0,AT17-AX16)+IF(BC16&lt;=0,0,AY17-BC16)</f>
        <v/>
      </c>
      <c r="D17" s="32">
        <f>G17+I17+L17+N17+Q17+S17+V17+X17+AA17+AC17+AF17+AH17+AK17+AM17+AP17+AR17+AU17+AW17+AZ17+BB17</f>
        <v/>
      </c>
      <c r="E17" s="32">
        <f>J17+O17+T17+Y17+AD17+AI17+AN17+AS17+AX17+BC17</f>
        <v/>
      </c>
      <c r="F17" s="33">
        <f>IF(J16&lt;=0,0,ROUND(J16*(1+'Your debts'!$D$6/1200),2))</f>
        <v/>
      </c>
      <c r="G17" s="33">
        <f>IF(F17&lt;=0,0,MIN('Your debts'!$E$6,F17))</f>
        <v/>
      </c>
      <c r="H17" s="33">
        <f>F17-G17</f>
        <v/>
      </c>
      <c r="I17" s="33">
        <f>IF('Your debts'!$F$6="",0,MIN(H17,MAX(0,MAX(0,'Your debts'!$C$19-(G17+L17+Q17+V17+AA17+AF17+AK17+AP17+AU17+AZ17))-(IF(AND('Your debts'!$F$7&lt;&gt;"",'Your debts'!$F$6&lt;&gt;"",'Your debts'!$F$7&lt;'Your debts'!$F$6),M17,0)+IF(AND('Your debts'!$F$8&lt;&gt;"",'Your debts'!$F$6&lt;&gt;"",'Your debts'!$F$8&lt;'Your debts'!$F$6),R17,0)+IF(AND('Your debts'!$F$9&lt;&gt;"",'Your debts'!$F$6&lt;&gt;"",'Your debts'!$F$9&lt;'Your debts'!$F$6),W17,0)+IF(AND('Your debts'!$F$10&lt;&gt;"",'Your debts'!$F$6&lt;&gt;"",'Your debts'!$F$10&lt;'Your debts'!$F$6),AB17,0)+IF(AND('Your debts'!$F$11&lt;&gt;"",'Your debts'!$F$6&lt;&gt;"",'Your debts'!$F$11&lt;'Your debts'!$F$6),AG17,0)+IF(AND('Your debts'!$F$12&lt;&gt;"",'Your debts'!$F$6&lt;&gt;"",'Your debts'!$F$12&lt;'Your debts'!$F$6),AL17,0)+IF(AND('Your debts'!$F$13&lt;&gt;"",'Your debts'!$F$6&lt;&gt;"",'Your debts'!$F$13&lt;'Your debts'!$F$6),AQ17,0)+IF(AND('Your debts'!$F$14&lt;&gt;"",'Your debts'!$F$6&lt;&gt;"",'Your debts'!$F$14&lt;'Your debts'!$F$6),AV17,0)+IF(AND('Your debts'!$F$15&lt;&gt;"",'Your debts'!$F$6&lt;&gt;"",'Your debts'!$F$15&lt;'Your debts'!$F$6),BA17,0)))))</f>
        <v/>
      </c>
      <c r="J17" s="33">
        <f>H17-I17</f>
        <v/>
      </c>
      <c r="K17" s="33">
        <f>IF(O16&lt;=0,0,ROUND(O16*(1+'Your debts'!$D$7/1200),2))</f>
        <v/>
      </c>
      <c r="L17" s="33">
        <f>IF(K17&lt;=0,0,MIN('Your debts'!$E$7,K17))</f>
        <v/>
      </c>
      <c r="M17" s="33">
        <f>K17-L17</f>
        <v/>
      </c>
      <c r="N17" s="33">
        <f>IF('Your debts'!$F$7="",0,MIN(M17,MAX(0,MAX(0,'Your debts'!$C$19-(G17+L17+Q17+V17+AA17+AF17+AK17+AP17+AU17+AZ17))-(IF(AND('Your debts'!$F$6&lt;&gt;"",'Your debts'!$F$7&lt;&gt;"",'Your debts'!$F$6&lt;'Your debts'!$F$7),H17,0)+IF(AND('Your debts'!$F$8&lt;&gt;"",'Your debts'!$F$7&lt;&gt;"",'Your debts'!$F$8&lt;'Your debts'!$F$7),R17,0)+IF(AND('Your debts'!$F$9&lt;&gt;"",'Your debts'!$F$7&lt;&gt;"",'Your debts'!$F$9&lt;'Your debts'!$F$7),W17,0)+IF(AND('Your debts'!$F$10&lt;&gt;"",'Your debts'!$F$7&lt;&gt;"",'Your debts'!$F$10&lt;'Your debts'!$F$7),AB17,0)+IF(AND('Your debts'!$F$11&lt;&gt;"",'Your debts'!$F$7&lt;&gt;"",'Your debts'!$F$11&lt;'Your debts'!$F$7),AG17,0)+IF(AND('Your debts'!$F$12&lt;&gt;"",'Your debts'!$F$7&lt;&gt;"",'Your debts'!$F$12&lt;'Your debts'!$F$7),AL17,0)+IF(AND('Your debts'!$F$13&lt;&gt;"",'Your debts'!$F$7&lt;&gt;"",'Your debts'!$F$13&lt;'Your debts'!$F$7),AQ17,0)+IF(AND('Your debts'!$F$14&lt;&gt;"",'Your debts'!$F$7&lt;&gt;"",'Your debts'!$F$14&lt;'Your debts'!$F$7),AV17,0)+IF(AND('Your debts'!$F$15&lt;&gt;"",'Your debts'!$F$7&lt;&gt;"",'Your debts'!$F$15&lt;'Your debts'!$F$7),BA17,0)))))</f>
        <v/>
      </c>
      <c r="O17" s="33">
        <f>M17-N17</f>
        <v/>
      </c>
      <c r="P17" s="33">
        <f>IF(T16&lt;=0,0,ROUND(T16*(1+'Your debts'!$D$8/1200),2))</f>
        <v/>
      </c>
      <c r="Q17" s="33">
        <f>IF(P17&lt;=0,0,MIN('Your debts'!$E$8,P17))</f>
        <v/>
      </c>
      <c r="R17" s="33">
        <f>P17-Q17</f>
        <v/>
      </c>
      <c r="S17" s="33">
        <f>IF('Your debts'!$F$8="",0,MIN(R17,MAX(0,MAX(0,'Your debts'!$C$19-(G17+L17+Q17+V17+AA17+AF17+AK17+AP17+AU17+AZ17))-(IF(AND('Your debts'!$F$6&lt;&gt;"",'Your debts'!$F$8&lt;&gt;"",'Your debts'!$F$6&lt;'Your debts'!$F$8),H17,0)+IF(AND('Your debts'!$F$7&lt;&gt;"",'Your debts'!$F$8&lt;&gt;"",'Your debts'!$F$7&lt;'Your debts'!$F$8),M17,0)+IF(AND('Your debts'!$F$9&lt;&gt;"",'Your debts'!$F$8&lt;&gt;"",'Your debts'!$F$9&lt;'Your debts'!$F$8),W17,0)+IF(AND('Your debts'!$F$10&lt;&gt;"",'Your debts'!$F$8&lt;&gt;"",'Your debts'!$F$10&lt;'Your debts'!$F$8),AB17,0)+IF(AND('Your debts'!$F$11&lt;&gt;"",'Your debts'!$F$8&lt;&gt;"",'Your debts'!$F$11&lt;'Your debts'!$F$8),AG17,0)+IF(AND('Your debts'!$F$12&lt;&gt;"",'Your debts'!$F$8&lt;&gt;"",'Your debts'!$F$12&lt;'Your debts'!$F$8),AL17,0)+IF(AND('Your debts'!$F$13&lt;&gt;"",'Your debts'!$F$8&lt;&gt;"",'Your debts'!$F$13&lt;'Your debts'!$F$8),AQ17,0)+IF(AND('Your debts'!$F$14&lt;&gt;"",'Your debts'!$F$8&lt;&gt;"",'Your debts'!$F$14&lt;'Your debts'!$F$8),AV17,0)+IF(AND('Your debts'!$F$15&lt;&gt;"",'Your debts'!$F$8&lt;&gt;"",'Your debts'!$F$15&lt;'Your debts'!$F$8),BA17,0)))))</f>
        <v/>
      </c>
      <c r="T17" s="33">
        <f>R17-S17</f>
        <v/>
      </c>
      <c r="U17" s="33">
        <f>IF(Y16&lt;=0,0,ROUND(Y16*(1+'Your debts'!$D$9/1200),2))</f>
        <v/>
      </c>
      <c r="V17" s="33">
        <f>IF(U17&lt;=0,0,MIN('Your debts'!$E$9,U17))</f>
        <v/>
      </c>
      <c r="W17" s="33">
        <f>U17-V17</f>
        <v/>
      </c>
      <c r="X17" s="33">
        <f>IF('Your debts'!$F$9="",0,MIN(W17,MAX(0,MAX(0,'Your debts'!$C$19-(G17+L17+Q17+V17+AA17+AF17+AK17+AP17+AU17+AZ17))-(IF(AND('Your debts'!$F$6&lt;&gt;"",'Your debts'!$F$9&lt;&gt;"",'Your debts'!$F$6&lt;'Your debts'!$F$9),H17,0)+IF(AND('Your debts'!$F$7&lt;&gt;"",'Your debts'!$F$9&lt;&gt;"",'Your debts'!$F$7&lt;'Your debts'!$F$9),M17,0)+IF(AND('Your debts'!$F$8&lt;&gt;"",'Your debts'!$F$9&lt;&gt;"",'Your debts'!$F$8&lt;'Your debts'!$F$9),R17,0)+IF(AND('Your debts'!$F$10&lt;&gt;"",'Your debts'!$F$9&lt;&gt;"",'Your debts'!$F$10&lt;'Your debts'!$F$9),AB17,0)+IF(AND('Your debts'!$F$11&lt;&gt;"",'Your debts'!$F$9&lt;&gt;"",'Your debts'!$F$11&lt;'Your debts'!$F$9),AG17,0)+IF(AND('Your debts'!$F$12&lt;&gt;"",'Your debts'!$F$9&lt;&gt;"",'Your debts'!$F$12&lt;'Your debts'!$F$9),AL17,0)+IF(AND('Your debts'!$F$13&lt;&gt;"",'Your debts'!$F$9&lt;&gt;"",'Your debts'!$F$13&lt;'Your debts'!$F$9),AQ17,0)+IF(AND('Your debts'!$F$14&lt;&gt;"",'Your debts'!$F$9&lt;&gt;"",'Your debts'!$F$14&lt;'Your debts'!$F$9),AV17,0)+IF(AND('Your debts'!$F$15&lt;&gt;"",'Your debts'!$F$9&lt;&gt;"",'Your debts'!$F$15&lt;'Your debts'!$F$9),BA17,0)))))</f>
        <v/>
      </c>
      <c r="Y17" s="33">
        <f>W17-X17</f>
        <v/>
      </c>
      <c r="Z17" s="33">
        <f>IF(AD16&lt;=0,0,ROUND(AD16*(1+'Your debts'!$D$10/1200),2))</f>
        <v/>
      </c>
      <c r="AA17" s="33">
        <f>IF(Z17&lt;=0,0,MIN('Your debts'!$E$10,Z17))</f>
        <v/>
      </c>
      <c r="AB17" s="33">
        <f>Z17-AA17</f>
        <v/>
      </c>
      <c r="AC17" s="33">
        <f>IF('Your debts'!$F$10="",0,MIN(AB17,MAX(0,MAX(0,'Your debts'!$C$19-(G17+L17+Q17+V17+AA17+AF17+AK17+AP17+AU17+AZ17))-(IF(AND('Your debts'!$F$6&lt;&gt;"",'Your debts'!$F$10&lt;&gt;"",'Your debts'!$F$6&lt;'Your debts'!$F$10),H17,0)+IF(AND('Your debts'!$F$7&lt;&gt;"",'Your debts'!$F$10&lt;&gt;"",'Your debts'!$F$7&lt;'Your debts'!$F$10),M17,0)+IF(AND('Your debts'!$F$8&lt;&gt;"",'Your debts'!$F$10&lt;&gt;"",'Your debts'!$F$8&lt;'Your debts'!$F$10),R17,0)+IF(AND('Your debts'!$F$9&lt;&gt;"",'Your debts'!$F$10&lt;&gt;"",'Your debts'!$F$9&lt;'Your debts'!$F$10),W17,0)+IF(AND('Your debts'!$F$11&lt;&gt;"",'Your debts'!$F$10&lt;&gt;"",'Your debts'!$F$11&lt;'Your debts'!$F$10),AG17,0)+IF(AND('Your debts'!$F$12&lt;&gt;"",'Your debts'!$F$10&lt;&gt;"",'Your debts'!$F$12&lt;'Your debts'!$F$10),AL17,0)+IF(AND('Your debts'!$F$13&lt;&gt;"",'Your debts'!$F$10&lt;&gt;"",'Your debts'!$F$13&lt;'Your debts'!$F$10),AQ17,0)+IF(AND('Your debts'!$F$14&lt;&gt;"",'Your debts'!$F$10&lt;&gt;"",'Your debts'!$F$14&lt;'Your debts'!$F$10),AV17,0)+IF(AND('Your debts'!$F$15&lt;&gt;"",'Your debts'!$F$10&lt;&gt;"",'Your debts'!$F$15&lt;'Your debts'!$F$10),BA17,0)))))</f>
        <v/>
      </c>
      <c r="AD17" s="33">
        <f>AB17-AC17</f>
        <v/>
      </c>
      <c r="AE17" s="33">
        <f>IF(AI16&lt;=0,0,ROUND(AI16*(1+'Your debts'!$D$11/1200),2))</f>
        <v/>
      </c>
      <c r="AF17" s="33">
        <f>IF(AE17&lt;=0,0,MIN('Your debts'!$E$11,AE17))</f>
        <v/>
      </c>
      <c r="AG17" s="33">
        <f>AE17-AF17</f>
        <v/>
      </c>
      <c r="AH17" s="33">
        <f>IF('Your debts'!$F$11="",0,MIN(AG17,MAX(0,MAX(0,'Your debts'!$C$19-(G17+L17+Q17+V17+AA17+AF17+AK17+AP17+AU17+AZ17))-(IF(AND('Your debts'!$F$6&lt;&gt;"",'Your debts'!$F$11&lt;&gt;"",'Your debts'!$F$6&lt;'Your debts'!$F$11),H17,0)+IF(AND('Your debts'!$F$7&lt;&gt;"",'Your debts'!$F$11&lt;&gt;"",'Your debts'!$F$7&lt;'Your debts'!$F$11),M17,0)+IF(AND('Your debts'!$F$8&lt;&gt;"",'Your debts'!$F$11&lt;&gt;"",'Your debts'!$F$8&lt;'Your debts'!$F$11),R17,0)+IF(AND('Your debts'!$F$9&lt;&gt;"",'Your debts'!$F$11&lt;&gt;"",'Your debts'!$F$9&lt;'Your debts'!$F$11),W17,0)+IF(AND('Your debts'!$F$10&lt;&gt;"",'Your debts'!$F$11&lt;&gt;"",'Your debts'!$F$10&lt;'Your debts'!$F$11),AB17,0)+IF(AND('Your debts'!$F$12&lt;&gt;"",'Your debts'!$F$11&lt;&gt;"",'Your debts'!$F$12&lt;'Your debts'!$F$11),AL17,0)+IF(AND('Your debts'!$F$13&lt;&gt;"",'Your debts'!$F$11&lt;&gt;"",'Your debts'!$F$13&lt;'Your debts'!$F$11),AQ17,0)+IF(AND('Your debts'!$F$14&lt;&gt;"",'Your debts'!$F$11&lt;&gt;"",'Your debts'!$F$14&lt;'Your debts'!$F$11),AV17,0)+IF(AND('Your debts'!$F$15&lt;&gt;"",'Your debts'!$F$11&lt;&gt;"",'Your debts'!$F$15&lt;'Your debts'!$F$11),BA17,0)))))</f>
        <v/>
      </c>
      <c r="AI17" s="33">
        <f>AG17-AH17</f>
        <v/>
      </c>
      <c r="AJ17" s="33">
        <f>IF(AN16&lt;=0,0,ROUND(AN16*(1+'Your debts'!$D$12/1200),2))</f>
        <v/>
      </c>
      <c r="AK17" s="33">
        <f>IF(AJ17&lt;=0,0,MIN('Your debts'!$E$12,AJ17))</f>
        <v/>
      </c>
      <c r="AL17" s="33">
        <f>AJ17-AK17</f>
        <v/>
      </c>
      <c r="AM17" s="33">
        <f>IF('Your debts'!$F$12="",0,MIN(AL17,MAX(0,MAX(0,'Your debts'!$C$19-(G17+L17+Q17+V17+AA17+AF17+AK17+AP17+AU17+AZ17))-(IF(AND('Your debts'!$F$6&lt;&gt;"",'Your debts'!$F$12&lt;&gt;"",'Your debts'!$F$6&lt;'Your debts'!$F$12),H17,0)+IF(AND('Your debts'!$F$7&lt;&gt;"",'Your debts'!$F$12&lt;&gt;"",'Your debts'!$F$7&lt;'Your debts'!$F$12),M17,0)+IF(AND('Your debts'!$F$8&lt;&gt;"",'Your debts'!$F$12&lt;&gt;"",'Your debts'!$F$8&lt;'Your debts'!$F$12),R17,0)+IF(AND('Your debts'!$F$9&lt;&gt;"",'Your debts'!$F$12&lt;&gt;"",'Your debts'!$F$9&lt;'Your debts'!$F$12),W17,0)+IF(AND('Your debts'!$F$10&lt;&gt;"",'Your debts'!$F$12&lt;&gt;"",'Your debts'!$F$10&lt;'Your debts'!$F$12),AB17,0)+IF(AND('Your debts'!$F$11&lt;&gt;"",'Your debts'!$F$12&lt;&gt;"",'Your debts'!$F$11&lt;'Your debts'!$F$12),AG17,0)+IF(AND('Your debts'!$F$13&lt;&gt;"",'Your debts'!$F$12&lt;&gt;"",'Your debts'!$F$13&lt;'Your debts'!$F$12),AQ17,0)+IF(AND('Your debts'!$F$14&lt;&gt;"",'Your debts'!$F$12&lt;&gt;"",'Your debts'!$F$14&lt;'Your debts'!$F$12),AV17,0)+IF(AND('Your debts'!$F$15&lt;&gt;"",'Your debts'!$F$12&lt;&gt;"",'Your debts'!$F$15&lt;'Your debts'!$F$12),BA17,0)))))</f>
        <v/>
      </c>
      <c r="AN17" s="33">
        <f>AL17-AM17</f>
        <v/>
      </c>
      <c r="AO17" s="33">
        <f>IF(AS16&lt;=0,0,ROUND(AS16*(1+'Your debts'!$D$13/1200),2))</f>
        <v/>
      </c>
      <c r="AP17" s="33">
        <f>IF(AO17&lt;=0,0,MIN('Your debts'!$E$13,AO17))</f>
        <v/>
      </c>
      <c r="AQ17" s="33">
        <f>AO17-AP17</f>
        <v/>
      </c>
      <c r="AR17" s="33">
        <f>IF('Your debts'!$F$13="",0,MIN(AQ17,MAX(0,MAX(0,'Your debts'!$C$19-(G17+L17+Q17+V17+AA17+AF17+AK17+AP17+AU17+AZ17))-(IF(AND('Your debts'!$F$6&lt;&gt;"",'Your debts'!$F$13&lt;&gt;"",'Your debts'!$F$6&lt;'Your debts'!$F$13),H17,0)+IF(AND('Your debts'!$F$7&lt;&gt;"",'Your debts'!$F$13&lt;&gt;"",'Your debts'!$F$7&lt;'Your debts'!$F$13),M17,0)+IF(AND('Your debts'!$F$8&lt;&gt;"",'Your debts'!$F$13&lt;&gt;"",'Your debts'!$F$8&lt;'Your debts'!$F$13),R17,0)+IF(AND('Your debts'!$F$9&lt;&gt;"",'Your debts'!$F$13&lt;&gt;"",'Your debts'!$F$9&lt;'Your debts'!$F$13),W17,0)+IF(AND('Your debts'!$F$10&lt;&gt;"",'Your debts'!$F$13&lt;&gt;"",'Your debts'!$F$10&lt;'Your debts'!$F$13),AB17,0)+IF(AND('Your debts'!$F$11&lt;&gt;"",'Your debts'!$F$13&lt;&gt;"",'Your debts'!$F$11&lt;'Your debts'!$F$13),AG17,0)+IF(AND('Your debts'!$F$12&lt;&gt;"",'Your debts'!$F$13&lt;&gt;"",'Your debts'!$F$12&lt;'Your debts'!$F$13),AL17,0)+IF(AND('Your debts'!$F$14&lt;&gt;"",'Your debts'!$F$13&lt;&gt;"",'Your debts'!$F$14&lt;'Your debts'!$F$13),AV17,0)+IF(AND('Your debts'!$F$15&lt;&gt;"",'Your debts'!$F$13&lt;&gt;"",'Your debts'!$F$15&lt;'Your debts'!$F$13),BA17,0)))))</f>
        <v/>
      </c>
      <c r="AS17" s="33">
        <f>AQ17-AR17</f>
        <v/>
      </c>
      <c r="AT17" s="33">
        <f>IF(AX16&lt;=0,0,ROUND(AX16*(1+'Your debts'!$D$14/1200),2))</f>
        <v/>
      </c>
      <c r="AU17" s="33">
        <f>IF(AT17&lt;=0,0,MIN('Your debts'!$E$14,AT17))</f>
        <v/>
      </c>
      <c r="AV17" s="33">
        <f>AT17-AU17</f>
        <v/>
      </c>
      <c r="AW17" s="33">
        <f>IF('Your debts'!$F$14="",0,MIN(AV17,MAX(0,MAX(0,'Your debts'!$C$19-(G17+L17+Q17+V17+AA17+AF17+AK17+AP17+AU17+AZ17))-(IF(AND('Your debts'!$F$6&lt;&gt;"",'Your debts'!$F$14&lt;&gt;"",'Your debts'!$F$6&lt;'Your debts'!$F$14),H17,0)+IF(AND('Your debts'!$F$7&lt;&gt;"",'Your debts'!$F$14&lt;&gt;"",'Your debts'!$F$7&lt;'Your debts'!$F$14),M17,0)+IF(AND('Your debts'!$F$8&lt;&gt;"",'Your debts'!$F$14&lt;&gt;"",'Your debts'!$F$8&lt;'Your debts'!$F$14),R17,0)+IF(AND('Your debts'!$F$9&lt;&gt;"",'Your debts'!$F$14&lt;&gt;"",'Your debts'!$F$9&lt;'Your debts'!$F$14),W17,0)+IF(AND('Your debts'!$F$10&lt;&gt;"",'Your debts'!$F$14&lt;&gt;"",'Your debts'!$F$10&lt;'Your debts'!$F$14),AB17,0)+IF(AND('Your debts'!$F$11&lt;&gt;"",'Your debts'!$F$14&lt;&gt;"",'Your debts'!$F$11&lt;'Your debts'!$F$14),AG17,0)+IF(AND('Your debts'!$F$12&lt;&gt;"",'Your debts'!$F$14&lt;&gt;"",'Your debts'!$F$12&lt;'Your debts'!$F$14),AL17,0)+IF(AND('Your debts'!$F$13&lt;&gt;"",'Your debts'!$F$14&lt;&gt;"",'Your debts'!$F$13&lt;'Your debts'!$F$14),AQ17,0)+IF(AND('Your debts'!$F$15&lt;&gt;"",'Your debts'!$F$14&lt;&gt;"",'Your debts'!$F$15&lt;'Your debts'!$F$14),BA17,0)))))</f>
        <v/>
      </c>
      <c r="AX17" s="33">
        <f>AV17-AW17</f>
        <v/>
      </c>
      <c r="AY17" s="33">
        <f>IF(BC16&lt;=0,0,ROUND(BC16*(1+'Your debts'!$D$15/1200),2))</f>
        <v/>
      </c>
      <c r="AZ17" s="33">
        <f>IF(AY17&lt;=0,0,MIN('Your debts'!$E$15,AY17))</f>
        <v/>
      </c>
      <c r="BA17" s="33">
        <f>AY17-AZ17</f>
        <v/>
      </c>
      <c r="BB17" s="33">
        <f>IF('Your debts'!$F$15="",0,MIN(BA17,MAX(0,MAX(0,'Your debts'!$C$19-(G17+L17+Q17+V17+AA17+AF17+AK17+AP17+AU17+AZ17))-(IF(AND('Your debts'!$F$6&lt;&gt;"",'Your debts'!$F$15&lt;&gt;"",'Your debts'!$F$6&lt;'Your debts'!$F$15),H17,0)+IF(AND('Your debts'!$F$7&lt;&gt;"",'Your debts'!$F$15&lt;&gt;"",'Your debts'!$F$7&lt;'Your debts'!$F$15),M17,0)+IF(AND('Your debts'!$F$8&lt;&gt;"",'Your debts'!$F$15&lt;&gt;"",'Your debts'!$F$8&lt;'Your debts'!$F$15),R17,0)+IF(AND('Your debts'!$F$9&lt;&gt;"",'Your debts'!$F$15&lt;&gt;"",'Your debts'!$F$9&lt;'Your debts'!$F$15),W17,0)+IF(AND('Your debts'!$F$10&lt;&gt;"",'Your debts'!$F$15&lt;&gt;"",'Your debts'!$F$10&lt;'Your debts'!$F$15),AB17,0)+IF(AND('Your debts'!$F$11&lt;&gt;"",'Your debts'!$F$15&lt;&gt;"",'Your debts'!$F$11&lt;'Your debts'!$F$15),AG17,0)+IF(AND('Your debts'!$F$12&lt;&gt;"",'Your debts'!$F$15&lt;&gt;"",'Your debts'!$F$12&lt;'Your debts'!$F$15),AL17,0)+IF(AND('Your debts'!$F$13&lt;&gt;"",'Your debts'!$F$15&lt;&gt;"",'Your debts'!$F$13&lt;'Your debts'!$F$15),AQ17,0)+IF(AND('Your debts'!$F$14&lt;&gt;"",'Your debts'!$F$15&lt;&gt;"",'Your debts'!$F$14&lt;'Your debts'!$F$15),AV17,0)))))</f>
        <v/>
      </c>
      <c r="BC17" s="33">
        <f>BA17-BB17</f>
        <v/>
      </c>
    </row>
    <row r="18">
      <c r="A18" s="30" t="n">
        <v>3</v>
      </c>
      <c r="B18" s="31">
        <f>EDATE($B$15,3)</f>
        <v/>
      </c>
      <c r="C18" s="32">
        <f>IF(J17&lt;=0,0,F18-J17)+IF(O17&lt;=0,0,K18-O17)+IF(T17&lt;=0,0,P18-T17)+IF(Y17&lt;=0,0,U18-Y17)+IF(AD17&lt;=0,0,Z18-AD17)+IF(AI17&lt;=0,0,AE18-AI17)+IF(AN17&lt;=0,0,AJ18-AN17)+IF(AS17&lt;=0,0,AO18-AS17)+IF(AX17&lt;=0,0,AT18-AX17)+IF(BC17&lt;=0,0,AY18-BC17)</f>
        <v/>
      </c>
      <c r="D18" s="32">
        <f>G18+I18+L18+N18+Q18+S18+V18+X18+AA18+AC18+AF18+AH18+AK18+AM18+AP18+AR18+AU18+AW18+AZ18+BB18</f>
        <v/>
      </c>
      <c r="E18" s="32">
        <f>J18+O18+T18+Y18+AD18+AI18+AN18+AS18+AX18+BC18</f>
        <v/>
      </c>
      <c r="F18" s="33">
        <f>IF(J17&lt;=0,0,ROUND(J17*(1+'Your debts'!$D$6/1200),2))</f>
        <v/>
      </c>
      <c r="G18" s="33">
        <f>IF(F18&lt;=0,0,MIN('Your debts'!$E$6,F18))</f>
        <v/>
      </c>
      <c r="H18" s="33">
        <f>F18-G18</f>
        <v/>
      </c>
      <c r="I18" s="33">
        <f>IF('Your debts'!$F$6="",0,MIN(H18,MAX(0,MAX(0,'Your debts'!$C$19-(G18+L18+Q18+V18+AA18+AF18+AK18+AP18+AU18+AZ18))-(IF(AND('Your debts'!$F$7&lt;&gt;"",'Your debts'!$F$6&lt;&gt;"",'Your debts'!$F$7&lt;'Your debts'!$F$6),M18,0)+IF(AND('Your debts'!$F$8&lt;&gt;"",'Your debts'!$F$6&lt;&gt;"",'Your debts'!$F$8&lt;'Your debts'!$F$6),R18,0)+IF(AND('Your debts'!$F$9&lt;&gt;"",'Your debts'!$F$6&lt;&gt;"",'Your debts'!$F$9&lt;'Your debts'!$F$6),W18,0)+IF(AND('Your debts'!$F$10&lt;&gt;"",'Your debts'!$F$6&lt;&gt;"",'Your debts'!$F$10&lt;'Your debts'!$F$6),AB18,0)+IF(AND('Your debts'!$F$11&lt;&gt;"",'Your debts'!$F$6&lt;&gt;"",'Your debts'!$F$11&lt;'Your debts'!$F$6),AG18,0)+IF(AND('Your debts'!$F$12&lt;&gt;"",'Your debts'!$F$6&lt;&gt;"",'Your debts'!$F$12&lt;'Your debts'!$F$6),AL18,0)+IF(AND('Your debts'!$F$13&lt;&gt;"",'Your debts'!$F$6&lt;&gt;"",'Your debts'!$F$13&lt;'Your debts'!$F$6),AQ18,0)+IF(AND('Your debts'!$F$14&lt;&gt;"",'Your debts'!$F$6&lt;&gt;"",'Your debts'!$F$14&lt;'Your debts'!$F$6),AV18,0)+IF(AND('Your debts'!$F$15&lt;&gt;"",'Your debts'!$F$6&lt;&gt;"",'Your debts'!$F$15&lt;'Your debts'!$F$6),BA18,0)))))</f>
        <v/>
      </c>
      <c r="J18" s="33">
        <f>H18-I18</f>
        <v/>
      </c>
      <c r="K18" s="33">
        <f>IF(O17&lt;=0,0,ROUND(O17*(1+'Your debts'!$D$7/1200),2))</f>
        <v/>
      </c>
      <c r="L18" s="33">
        <f>IF(K18&lt;=0,0,MIN('Your debts'!$E$7,K18))</f>
        <v/>
      </c>
      <c r="M18" s="33">
        <f>K18-L18</f>
        <v/>
      </c>
      <c r="N18" s="33">
        <f>IF('Your debts'!$F$7="",0,MIN(M18,MAX(0,MAX(0,'Your debts'!$C$19-(G18+L18+Q18+V18+AA18+AF18+AK18+AP18+AU18+AZ18))-(IF(AND('Your debts'!$F$6&lt;&gt;"",'Your debts'!$F$7&lt;&gt;"",'Your debts'!$F$6&lt;'Your debts'!$F$7),H18,0)+IF(AND('Your debts'!$F$8&lt;&gt;"",'Your debts'!$F$7&lt;&gt;"",'Your debts'!$F$8&lt;'Your debts'!$F$7),R18,0)+IF(AND('Your debts'!$F$9&lt;&gt;"",'Your debts'!$F$7&lt;&gt;"",'Your debts'!$F$9&lt;'Your debts'!$F$7),W18,0)+IF(AND('Your debts'!$F$10&lt;&gt;"",'Your debts'!$F$7&lt;&gt;"",'Your debts'!$F$10&lt;'Your debts'!$F$7),AB18,0)+IF(AND('Your debts'!$F$11&lt;&gt;"",'Your debts'!$F$7&lt;&gt;"",'Your debts'!$F$11&lt;'Your debts'!$F$7),AG18,0)+IF(AND('Your debts'!$F$12&lt;&gt;"",'Your debts'!$F$7&lt;&gt;"",'Your debts'!$F$12&lt;'Your debts'!$F$7),AL18,0)+IF(AND('Your debts'!$F$13&lt;&gt;"",'Your debts'!$F$7&lt;&gt;"",'Your debts'!$F$13&lt;'Your debts'!$F$7),AQ18,0)+IF(AND('Your debts'!$F$14&lt;&gt;"",'Your debts'!$F$7&lt;&gt;"",'Your debts'!$F$14&lt;'Your debts'!$F$7),AV18,0)+IF(AND('Your debts'!$F$15&lt;&gt;"",'Your debts'!$F$7&lt;&gt;"",'Your debts'!$F$15&lt;'Your debts'!$F$7),BA18,0)))))</f>
        <v/>
      </c>
      <c r="O18" s="33">
        <f>M18-N18</f>
        <v/>
      </c>
      <c r="P18" s="33">
        <f>IF(T17&lt;=0,0,ROUND(T17*(1+'Your debts'!$D$8/1200),2))</f>
        <v/>
      </c>
      <c r="Q18" s="33">
        <f>IF(P18&lt;=0,0,MIN('Your debts'!$E$8,P18))</f>
        <v/>
      </c>
      <c r="R18" s="33">
        <f>P18-Q18</f>
        <v/>
      </c>
      <c r="S18" s="33">
        <f>IF('Your debts'!$F$8="",0,MIN(R18,MAX(0,MAX(0,'Your debts'!$C$19-(G18+L18+Q18+V18+AA18+AF18+AK18+AP18+AU18+AZ18))-(IF(AND('Your debts'!$F$6&lt;&gt;"",'Your debts'!$F$8&lt;&gt;"",'Your debts'!$F$6&lt;'Your debts'!$F$8),H18,0)+IF(AND('Your debts'!$F$7&lt;&gt;"",'Your debts'!$F$8&lt;&gt;"",'Your debts'!$F$7&lt;'Your debts'!$F$8),M18,0)+IF(AND('Your debts'!$F$9&lt;&gt;"",'Your debts'!$F$8&lt;&gt;"",'Your debts'!$F$9&lt;'Your debts'!$F$8),W18,0)+IF(AND('Your debts'!$F$10&lt;&gt;"",'Your debts'!$F$8&lt;&gt;"",'Your debts'!$F$10&lt;'Your debts'!$F$8),AB18,0)+IF(AND('Your debts'!$F$11&lt;&gt;"",'Your debts'!$F$8&lt;&gt;"",'Your debts'!$F$11&lt;'Your debts'!$F$8),AG18,0)+IF(AND('Your debts'!$F$12&lt;&gt;"",'Your debts'!$F$8&lt;&gt;"",'Your debts'!$F$12&lt;'Your debts'!$F$8),AL18,0)+IF(AND('Your debts'!$F$13&lt;&gt;"",'Your debts'!$F$8&lt;&gt;"",'Your debts'!$F$13&lt;'Your debts'!$F$8),AQ18,0)+IF(AND('Your debts'!$F$14&lt;&gt;"",'Your debts'!$F$8&lt;&gt;"",'Your debts'!$F$14&lt;'Your debts'!$F$8),AV18,0)+IF(AND('Your debts'!$F$15&lt;&gt;"",'Your debts'!$F$8&lt;&gt;"",'Your debts'!$F$15&lt;'Your debts'!$F$8),BA18,0)))))</f>
        <v/>
      </c>
      <c r="T18" s="33">
        <f>R18-S18</f>
        <v/>
      </c>
      <c r="U18" s="33">
        <f>IF(Y17&lt;=0,0,ROUND(Y17*(1+'Your debts'!$D$9/1200),2))</f>
        <v/>
      </c>
      <c r="V18" s="33">
        <f>IF(U18&lt;=0,0,MIN('Your debts'!$E$9,U18))</f>
        <v/>
      </c>
      <c r="W18" s="33">
        <f>U18-V18</f>
        <v/>
      </c>
      <c r="X18" s="33">
        <f>IF('Your debts'!$F$9="",0,MIN(W18,MAX(0,MAX(0,'Your debts'!$C$19-(G18+L18+Q18+V18+AA18+AF18+AK18+AP18+AU18+AZ18))-(IF(AND('Your debts'!$F$6&lt;&gt;"",'Your debts'!$F$9&lt;&gt;"",'Your debts'!$F$6&lt;'Your debts'!$F$9),H18,0)+IF(AND('Your debts'!$F$7&lt;&gt;"",'Your debts'!$F$9&lt;&gt;"",'Your debts'!$F$7&lt;'Your debts'!$F$9),M18,0)+IF(AND('Your debts'!$F$8&lt;&gt;"",'Your debts'!$F$9&lt;&gt;"",'Your debts'!$F$8&lt;'Your debts'!$F$9),R18,0)+IF(AND('Your debts'!$F$10&lt;&gt;"",'Your debts'!$F$9&lt;&gt;"",'Your debts'!$F$10&lt;'Your debts'!$F$9),AB18,0)+IF(AND('Your debts'!$F$11&lt;&gt;"",'Your debts'!$F$9&lt;&gt;"",'Your debts'!$F$11&lt;'Your debts'!$F$9),AG18,0)+IF(AND('Your debts'!$F$12&lt;&gt;"",'Your debts'!$F$9&lt;&gt;"",'Your debts'!$F$12&lt;'Your debts'!$F$9),AL18,0)+IF(AND('Your debts'!$F$13&lt;&gt;"",'Your debts'!$F$9&lt;&gt;"",'Your debts'!$F$13&lt;'Your debts'!$F$9),AQ18,0)+IF(AND('Your debts'!$F$14&lt;&gt;"",'Your debts'!$F$9&lt;&gt;"",'Your debts'!$F$14&lt;'Your debts'!$F$9),AV18,0)+IF(AND('Your debts'!$F$15&lt;&gt;"",'Your debts'!$F$9&lt;&gt;"",'Your debts'!$F$15&lt;'Your debts'!$F$9),BA18,0)))))</f>
        <v/>
      </c>
      <c r="Y18" s="33">
        <f>W18-X18</f>
        <v/>
      </c>
      <c r="Z18" s="33">
        <f>IF(AD17&lt;=0,0,ROUND(AD17*(1+'Your debts'!$D$10/1200),2))</f>
        <v/>
      </c>
      <c r="AA18" s="33">
        <f>IF(Z18&lt;=0,0,MIN('Your debts'!$E$10,Z18))</f>
        <v/>
      </c>
      <c r="AB18" s="33">
        <f>Z18-AA18</f>
        <v/>
      </c>
      <c r="AC18" s="33">
        <f>IF('Your debts'!$F$10="",0,MIN(AB18,MAX(0,MAX(0,'Your debts'!$C$19-(G18+L18+Q18+V18+AA18+AF18+AK18+AP18+AU18+AZ18))-(IF(AND('Your debts'!$F$6&lt;&gt;"",'Your debts'!$F$10&lt;&gt;"",'Your debts'!$F$6&lt;'Your debts'!$F$10),H18,0)+IF(AND('Your debts'!$F$7&lt;&gt;"",'Your debts'!$F$10&lt;&gt;"",'Your debts'!$F$7&lt;'Your debts'!$F$10),M18,0)+IF(AND('Your debts'!$F$8&lt;&gt;"",'Your debts'!$F$10&lt;&gt;"",'Your debts'!$F$8&lt;'Your debts'!$F$10),R18,0)+IF(AND('Your debts'!$F$9&lt;&gt;"",'Your debts'!$F$10&lt;&gt;"",'Your debts'!$F$9&lt;'Your debts'!$F$10),W18,0)+IF(AND('Your debts'!$F$11&lt;&gt;"",'Your debts'!$F$10&lt;&gt;"",'Your debts'!$F$11&lt;'Your debts'!$F$10),AG18,0)+IF(AND('Your debts'!$F$12&lt;&gt;"",'Your debts'!$F$10&lt;&gt;"",'Your debts'!$F$12&lt;'Your debts'!$F$10),AL18,0)+IF(AND('Your debts'!$F$13&lt;&gt;"",'Your debts'!$F$10&lt;&gt;"",'Your debts'!$F$13&lt;'Your debts'!$F$10),AQ18,0)+IF(AND('Your debts'!$F$14&lt;&gt;"",'Your debts'!$F$10&lt;&gt;"",'Your debts'!$F$14&lt;'Your debts'!$F$10),AV18,0)+IF(AND('Your debts'!$F$15&lt;&gt;"",'Your debts'!$F$10&lt;&gt;"",'Your debts'!$F$15&lt;'Your debts'!$F$10),BA18,0)))))</f>
        <v/>
      </c>
      <c r="AD18" s="33">
        <f>AB18-AC18</f>
        <v/>
      </c>
      <c r="AE18" s="33">
        <f>IF(AI17&lt;=0,0,ROUND(AI17*(1+'Your debts'!$D$11/1200),2))</f>
        <v/>
      </c>
      <c r="AF18" s="33">
        <f>IF(AE18&lt;=0,0,MIN('Your debts'!$E$11,AE18))</f>
        <v/>
      </c>
      <c r="AG18" s="33">
        <f>AE18-AF18</f>
        <v/>
      </c>
      <c r="AH18" s="33">
        <f>IF('Your debts'!$F$11="",0,MIN(AG18,MAX(0,MAX(0,'Your debts'!$C$19-(G18+L18+Q18+V18+AA18+AF18+AK18+AP18+AU18+AZ18))-(IF(AND('Your debts'!$F$6&lt;&gt;"",'Your debts'!$F$11&lt;&gt;"",'Your debts'!$F$6&lt;'Your debts'!$F$11),H18,0)+IF(AND('Your debts'!$F$7&lt;&gt;"",'Your debts'!$F$11&lt;&gt;"",'Your debts'!$F$7&lt;'Your debts'!$F$11),M18,0)+IF(AND('Your debts'!$F$8&lt;&gt;"",'Your debts'!$F$11&lt;&gt;"",'Your debts'!$F$8&lt;'Your debts'!$F$11),R18,0)+IF(AND('Your debts'!$F$9&lt;&gt;"",'Your debts'!$F$11&lt;&gt;"",'Your debts'!$F$9&lt;'Your debts'!$F$11),W18,0)+IF(AND('Your debts'!$F$10&lt;&gt;"",'Your debts'!$F$11&lt;&gt;"",'Your debts'!$F$10&lt;'Your debts'!$F$11),AB18,0)+IF(AND('Your debts'!$F$12&lt;&gt;"",'Your debts'!$F$11&lt;&gt;"",'Your debts'!$F$12&lt;'Your debts'!$F$11),AL18,0)+IF(AND('Your debts'!$F$13&lt;&gt;"",'Your debts'!$F$11&lt;&gt;"",'Your debts'!$F$13&lt;'Your debts'!$F$11),AQ18,0)+IF(AND('Your debts'!$F$14&lt;&gt;"",'Your debts'!$F$11&lt;&gt;"",'Your debts'!$F$14&lt;'Your debts'!$F$11),AV18,0)+IF(AND('Your debts'!$F$15&lt;&gt;"",'Your debts'!$F$11&lt;&gt;"",'Your debts'!$F$15&lt;'Your debts'!$F$11),BA18,0)))))</f>
        <v/>
      </c>
      <c r="AI18" s="33">
        <f>AG18-AH18</f>
        <v/>
      </c>
      <c r="AJ18" s="33">
        <f>IF(AN17&lt;=0,0,ROUND(AN17*(1+'Your debts'!$D$12/1200),2))</f>
        <v/>
      </c>
      <c r="AK18" s="33">
        <f>IF(AJ18&lt;=0,0,MIN('Your debts'!$E$12,AJ18))</f>
        <v/>
      </c>
      <c r="AL18" s="33">
        <f>AJ18-AK18</f>
        <v/>
      </c>
      <c r="AM18" s="33">
        <f>IF('Your debts'!$F$12="",0,MIN(AL18,MAX(0,MAX(0,'Your debts'!$C$19-(G18+L18+Q18+V18+AA18+AF18+AK18+AP18+AU18+AZ18))-(IF(AND('Your debts'!$F$6&lt;&gt;"",'Your debts'!$F$12&lt;&gt;"",'Your debts'!$F$6&lt;'Your debts'!$F$12),H18,0)+IF(AND('Your debts'!$F$7&lt;&gt;"",'Your debts'!$F$12&lt;&gt;"",'Your debts'!$F$7&lt;'Your debts'!$F$12),M18,0)+IF(AND('Your debts'!$F$8&lt;&gt;"",'Your debts'!$F$12&lt;&gt;"",'Your debts'!$F$8&lt;'Your debts'!$F$12),R18,0)+IF(AND('Your debts'!$F$9&lt;&gt;"",'Your debts'!$F$12&lt;&gt;"",'Your debts'!$F$9&lt;'Your debts'!$F$12),W18,0)+IF(AND('Your debts'!$F$10&lt;&gt;"",'Your debts'!$F$12&lt;&gt;"",'Your debts'!$F$10&lt;'Your debts'!$F$12),AB18,0)+IF(AND('Your debts'!$F$11&lt;&gt;"",'Your debts'!$F$12&lt;&gt;"",'Your debts'!$F$11&lt;'Your debts'!$F$12),AG18,0)+IF(AND('Your debts'!$F$13&lt;&gt;"",'Your debts'!$F$12&lt;&gt;"",'Your debts'!$F$13&lt;'Your debts'!$F$12),AQ18,0)+IF(AND('Your debts'!$F$14&lt;&gt;"",'Your debts'!$F$12&lt;&gt;"",'Your debts'!$F$14&lt;'Your debts'!$F$12),AV18,0)+IF(AND('Your debts'!$F$15&lt;&gt;"",'Your debts'!$F$12&lt;&gt;"",'Your debts'!$F$15&lt;'Your debts'!$F$12),BA18,0)))))</f>
        <v/>
      </c>
      <c r="AN18" s="33">
        <f>AL18-AM18</f>
        <v/>
      </c>
      <c r="AO18" s="33">
        <f>IF(AS17&lt;=0,0,ROUND(AS17*(1+'Your debts'!$D$13/1200),2))</f>
        <v/>
      </c>
      <c r="AP18" s="33">
        <f>IF(AO18&lt;=0,0,MIN('Your debts'!$E$13,AO18))</f>
        <v/>
      </c>
      <c r="AQ18" s="33">
        <f>AO18-AP18</f>
        <v/>
      </c>
      <c r="AR18" s="33">
        <f>IF('Your debts'!$F$13="",0,MIN(AQ18,MAX(0,MAX(0,'Your debts'!$C$19-(G18+L18+Q18+V18+AA18+AF18+AK18+AP18+AU18+AZ18))-(IF(AND('Your debts'!$F$6&lt;&gt;"",'Your debts'!$F$13&lt;&gt;"",'Your debts'!$F$6&lt;'Your debts'!$F$13),H18,0)+IF(AND('Your debts'!$F$7&lt;&gt;"",'Your debts'!$F$13&lt;&gt;"",'Your debts'!$F$7&lt;'Your debts'!$F$13),M18,0)+IF(AND('Your debts'!$F$8&lt;&gt;"",'Your debts'!$F$13&lt;&gt;"",'Your debts'!$F$8&lt;'Your debts'!$F$13),R18,0)+IF(AND('Your debts'!$F$9&lt;&gt;"",'Your debts'!$F$13&lt;&gt;"",'Your debts'!$F$9&lt;'Your debts'!$F$13),W18,0)+IF(AND('Your debts'!$F$10&lt;&gt;"",'Your debts'!$F$13&lt;&gt;"",'Your debts'!$F$10&lt;'Your debts'!$F$13),AB18,0)+IF(AND('Your debts'!$F$11&lt;&gt;"",'Your debts'!$F$13&lt;&gt;"",'Your debts'!$F$11&lt;'Your debts'!$F$13),AG18,0)+IF(AND('Your debts'!$F$12&lt;&gt;"",'Your debts'!$F$13&lt;&gt;"",'Your debts'!$F$12&lt;'Your debts'!$F$13),AL18,0)+IF(AND('Your debts'!$F$14&lt;&gt;"",'Your debts'!$F$13&lt;&gt;"",'Your debts'!$F$14&lt;'Your debts'!$F$13),AV18,0)+IF(AND('Your debts'!$F$15&lt;&gt;"",'Your debts'!$F$13&lt;&gt;"",'Your debts'!$F$15&lt;'Your debts'!$F$13),BA18,0)))))</f>
        <v/>
      </c>
      <c r="AS18" s="33">
        <f>AQ18-AR18</f>
        <v/>
      </c>
      <c r="AT18" s="33">
        <f>IF(AX17&lt;=0,0,ROUND(AX17*(1+'Your debts'!$D$14/1200),2))</f>
        <v/>
      </c>
      <c r="AU18" s="33">
        <f>IF(AT18&lt;=0,0,MIN('Your debts'!$E$14,AT18))</f>
        <v/>
      </c>
      <c r="AV18" s="33">
        <f>AT18-AU18</f>
        <v/>
      </c>
      <c r="AW18" s="33">
        <f>IF('Your debts'!$F$14="",0,MIN(AV18,MAX(0,MAX(0,'Your debts'!$C$19-(G18+L18+Q18+V18+AA18+AF18+AK18+AP18+AU18+AZ18))-(IF(AND('Your debts'!$F$6&lt;&gt;"",'Your debts'!$F$14&lt;&gt;"",'Your debts'!$F$6&lt;'Your debts'!$F$14),H18,0)+IF(AND('Your debts'!$F$7&lt;&gt;"",'Your debts'!$F$14&lt;&gt;"",'Your debts'!$F$7&lt;'Your debts'!$F$14),M18,0)+IF(AND('Your debts'!$F$8&lt;&gt;"",'Your debts'!$F$14&lt;&gt;"",'Your debts'!$F$8&lt;'Your debts'!$F$14),R18,0)+IF(AND('Your debts'!$F$9&lt;&gt;"",'Your debts'!$F$14&lt;&gt;"",'Your debts'!$F$9&lt;'Your debts'!$F$14),W18,0)+IF(AND('Your debts'!$F$10&lt;&gt;"",'Your debts'!$F$14&lt;&gt;"",'Your debts'!$F$10&lt;'Your debts'!$F$14),AB18,0)+IF(AND('Your debts'!$F$11&lt;&gt;"",'Your debts'!$F$14&lt;&gt;"",'Your debts'!$F$11&lt;'Your debts'!$F$14),AG18,0)+IF(AND('Your debts'!$F$12&lt;&gt;"",'Your debts'!$F$14&lt;&gt;"",'Your debts'!$F$12&lt;'Your debts'!$F$14),AL18,0)+IF(AND('Your debts'!$F$13&lt;&gt;"",'Your debts'!$F$14&lt;&gt;"",'Your debts'!$F$13&lt;'Your debts'!$F$14),AQ18,0)+IF(AND('Your debts'!$F$15&lt;&gt;"",'Your debts'!$F$14&lt;&gt;"",'Your debts'!$F$15&lt;'Your debts'!$F$14),BA18,0)))))</f>
        <v/>
      </c>
      <c r="AX18" s="33">
        <f>AV18-AW18</f>
        <v/>
      </c>
      <c r="AY18" s="33">
        <f>IF(BC17&lt;=0,0,ROUND(BC17*(1+'Your debts'!$D$15/1200),2))</f>
        <v/>
      </c>
      <c r="AZ18" s="33">
        <f>IF(AY18&lt;=0,0,MIN('Your debts'!$E$15,AY18))</f>
        <v/>
      </c>
      <c r="BA18" s="33">
        <f>AY18-AZ18</f>
        <v/>
      </c>
      <c r="BB18" s="33">
        <f>IF('Your debts'!$F$15="",0,MIN(BA18,MAX(0,MAX(0,'Your debts'!$C$19-(G18+L18+Q18+V18+AA18+AF18+AK18+AP18+AU18+AZ18))-(IF(AND('Your debts'!$F$6&lt;&gt;"",'Your debts'!$F$15&lt;&gt;"",'Your debts'!$F$6&lt;'Your debts'!$F$15),H18,0)+IF(AND('Your debts'!$F$7&lt;&gt;"",'Your debts'!$F$15&lt;&gt;"",'Your debts'!$F$7&lt;'Your debts'!$F$15),M18,0)+IF(AND('Your debts'!$F$8&lt;&gt;"",'Your debts'!$F$15&lt;&gt;"",'Your debts'!$F$8&lt;'Your debts'!$F$15),R18,0)+IF(AND('Your debts'!$F$9&lt;&gt;"",'Your debts'!$F$15&lt;&gt;"",'Your debts'!$F$9&lt;'Your debts'!$F$15),W18,0)+IF(AND('Your debts'!$F$10&lt;&gt;"",'Your debts'!$F$15&lt;&gt;"",'Your debts'!$F$10&lt;'Your debts'!$F$15),AB18,0)+IF(AND('Your debts'!$F$11&lt;&gt;"",'Your debts'!$F$15&lt;&gt;"",'Your debts'!$F$11&lt;'Your debts'!$F$15),AG18,0)+IF(AND('Your debts'!$F$12&lt;&gt;"",'Your debts'!$F$15&lt;&gt;"",'Your debts'!$F$12&lt;'Your debts'!$F$15),AL18,0)+IF(AND('Your debts'!$F$13&lt;&gt;"",'Your debts'!$F$15&lt;&gt;"",'Your debts'!$F$13&lt;'Your debts'!$F$15),AQ18,0)+IF(AND('Your debts'!$F$14&lt;&gt;"",'Your debts'!$F$15&lt;&gt;"",'Your debts'!$F$14&lt;'Your debts'!$F$15),AV18,0)))))</f>
        <v/>
      </c>
      <c r="BC18" s="33">
        <f>BA18-BB18</f>
        <v/>
      </c>
    </row>
    <row r="19">
      <c r="A19" s="30" t="n">
        <v>4</v>
      </c>
      <c r="B19" s="31">
        <f>EDATE($B$15,4)</f>
        <v/>
      </c>
      <c r="C19" s="32">
        <f>IF(J18&lt;=0,0,F19-J18)+IF(O18&lt;=0,0,K19-O18)+IF(T18&lt;=0,0,P19-T18)+IF(Y18&lt;=0,0,U19-Y18)+IF(AD18&lt;=0,0,Z19-AD18)+IF(AI18&lt;=0,0,AE19-AI18)+IF(AN18&lt;=0,0,AJ19-AN18)+IF(AS18&lt;=0,0,AO19-AS18)+IF(AX18&lt;=0,0,AT19-AX18)+IF(BC18&lt;=0,0,AY19-BC18)</f>
        <v/>
      </c>
      <c r="D19" s="32">
        <f>G19+I19+L19+N19+Q19+S19+V19+X19+AA19+AC19+AF19+AH19+AK19+AM19+AP19+AR19+AU19+AW19+AZ19+BB19</f>
        <v/>
      </c>
      <c r="E19" s="32">
        <f>J19+O19+T19+Y19+AD19+AI19+AN19+AS19+AX19+BC19</f>
        <v/>
      </c>
      <c r="F19" s="33">
        <f>IF(J18&lt;=0,0,ROUND(J18*(1+'Your debts'!$D$6/1200),2))</f>
        <v/>
      </c>
      <c r="G19" s="33">
        <f>IF(F19&lt;=0,0,MIN('Your debts'!$E$6,F19))</f>
        <v/>
      </c>
      <c r="H19" s="33">
        <f>F19-G19</f>
        <v/>
      </c>
      <c r="I19" s="33">
        <f>IF('Your debts'!$F$6="",0,MIN(H19,MAX(0,MAX(0,'Your debts'!$C$19-(G19+L19+Q19+V19+AA19+AF19+AK19+AP19+AU19+AZ19))-(IF(AND('Your debts'!$F$7&lt;&gt;"",'Your debts'!$F$6&lt;&gt;"",'Your debts'!$F$7&lt;'Your debts'!$F$6),M19,0)+IF(AND('Your debts'!$F$8&lt;&gt;"",'Your debts'!$F$6&lt;&gt;"",'Your debts'!$F$8&lt;'Your debts'!$F$6),R19,0)+IF(AND('Your debts'!$F$9&lt;&gt;"",'Your debts'!$F$6&lt;&gt;"",'Your debts'!$F$9&lt;'Your debts'!$F$6),W19,0)+IF(AND('Your debts'!$F$10&lt;&gt;"",'Your debts'!$F$6&lt;&gt;"",'Your debts'!$F$10&lt;'Your debts'!$F$6),AB19,0)+IF(AND('Your debts'!$F$11&lt;&gt;"",'Your debts'!$F$6&lt;&gt;"",'Your debts'!$F$11&lt;'Your debts'!$F$6),AG19,0)+IF(AND('Your debts'!$F$12&lt;&gt;"",'Your debts'!$F$6&lt;&gt;"",'Your debts'!$F$12&lt;'Your debts'!$F$6),AL19,0)+IF(AND('Your debts'!$F$13&lt;&gt;"",'Your debts'!$F$6&lt;&gt;"",'Your debts'!$F$13&lt;'Your debts'!$F$6),AQ19,0)+IF(AND('Your debts'!$F$14&lt;&gt;"",'Your debts'!$F$6&lt;&gt;"",'Your debts'!$F$14&lt;'Your debts'!$F$6),AV19,0)+IF(AND('Your debts'!$F$15&lt;&gt;"",'Your debts'!$F$6&lt;&gt;"",'Your debts'!$F$15&lt;'Your debts'!$F$6),BA19,0)))))</f>
        <v/>
      </c>
      <c r="J19" s="33">
        <f>H19-I19</f>
        <v/>
      </c>
      <c r="K19" s="33">
        <f>IF(O18&lt;=0,0,ROUND(O18*(1+'Your debts'!$D$7/1200),2))</f>
        <v/>
      </c>
      <c r="L19" s="33">
        <f>IF(K19&lt;=0,0,MIN('Your debts'!$E$7,K19))</f>
        <v/>
      </c>
      <c r="M19" s="33">
        <f>K19-L19</f>
        <v/>
      </c>
      <c r="N19" s="33">
        <f>IF('Your debts'!$F$7="",0,MIN(M19,MAX(0,MAX(0,'Your debts'!$C$19-(G19+L19+Q19+V19+AA19+AF19+AK19+AP19+AU19+AZ19))-(IF(AND('Your debts'!$F$6&lt;&gt;"",'Your debts'!$F$7&lt;&gt;"",'Your debts'!$F$6&lt;'Your debts'!$F$7),H19,0)+IF(AND('Your debts'!$F$8&lt;&gt;"",'Your debts'!$F$7&lt;&gt;"",'Your debts'!$F$8&lt;'Your debts'!$F$7),R19,0)+IF(AND('Your debts'!$F$9&lt;&gt;"",'Your debts'!$F$7&lt;&gt;"",'Your debts'!$F$9&lt;'Your debts'!$F$7),W19,0)+IF(AND('Your debts'!$F$10&lt;&gt;"",'Your debts'!$F$7&lt;&gt;"",'Your debts'!$F$10&lt;'Your debts'!$F$7),AB19,0)+IF(AND('Your debts'!$F$11&lt;&gt;"",'Your debts'!$F$7&lt;&gt;"",'Your debts'!$F$11&lt;'Your debts'!$F$7),AG19,0)+IF(AND('Your debts'!$F$12&lt;&gt;"",'Your debts'!$F$7&lt;&gt;"",'Your debts'!$F$12&lt;'Your debts'!$F$7),AL19,0)+IF(AND('Your debts'!$F$13&lt;&gt;"",'Your debts'!$F$7&lt;&gt;"",'Your debts'!$F$13&lt;'Your debts'!$F$7),AQ19,0)+IF(AND('Your debts'!$F$14&lt;&gt;"",'Your debts'!$F$7&lt;&gt;"",'Your debts'!$F$14&lt;'Your debts'!$F$7),AV19,0)+IF(AND('Your debts'!$F$15&lt;&gt;"",'Your debts'!$F$7&lt;&gt;"",'Your debts'!$F$15&lt;'Your debts'!$F$7),BA19,0)))))</f>
        <v/>
      </c>
      <c r="O19" s="33">
        <f>M19-N19</f>
        <v/>
      </c>
      <c r="P19" s="33">
        <f>IF(T18&lt;=0,0,ROUND(T18*(1+'Your debts'!$D$8/1200),2))</f>
        <v/>
      </c>
      <c r="Q19" s="33">
        <f>IF(P19&lt;=0,0,MIN('Your debts'!$E$8,P19))</f>
        <v/>
      </c>
      <c r="R19" s="33">
        <f>P19-Q19</f>
        <v/>
      </c>
      <c r="S19" s="33">
        <f>IF('Your debts'!$F$8="",0,MIN(R19,MAX(0,MAX(0,'Your debts'!$C$19-(G19+L19+Q19+V19+AA19+AF19+AK19+AP19+AU19+AZ19))-(IF(AND('Your debts'!$F$6&lt;&gt;"",'Your debts'!$F$8&lt;&gt;"",'Your debts'!$F$6&lt;'Your debts'!$F$8),H19,0)+IF(AND('Your debts'!$F$7&lt;&gt;"",'Your debts'!$F$8&lt;&gt;"",'Your debts'!$F$7&lt;'Your debts'!$F$8),M19,0)+IF(AND('Your debts'!$F$9&lt;&gt;"",'Your debts'!$F$8&lt;&gt;"",'Your debts'!$F$9&lt;'Your debts'!$F$8),W19,0)+IF(AND('Your debts'!$F$10&lt;&gt;"",'Your debts'!$F$8&lt;&gt;"",'Your debts'!$F$10&lt;'Your debts'!$F$8),AB19,0)+IF(AND('Your debts'!$F$11&lt;&gt;"",'Your debts'!$F$8&lt;&gt;"",'Your debts'!$F$11&lt;'Your debts'!$F$8),AG19,0)+IF(AND('Your debts'!$F$12&lt;&gt;"",'Your debts'!$F$8&lt;&gt;"",'Your debts'!$F$12&lt;'Your debts'!$F$8),AL19,0)+IF(AND('Your debts'!$F$13&lt;&gt;"",'Your debts'!$F$8&lt;&gt;"",'Your debts'!$F$13&lt;'Your debts'!$F$8),AQ19,0)+IF(AND('Your debts'!$F$14&lt;&gt;"",'Your debts'!$F$8&lt;&gt;"",'Your debts'!$F$14&lt;'Your debts'!$F$8),AV19,0)+IF(AND('Your debts'!$F$15&lt;&gt;"",'Your debts'!$F$8&lt;&gt;"",'Your debts'!$F$15&lt;'Your debts'!$F$8),BA19,0)))))</f>
        <v/>
      </c>
      <c r="T19" s="33">
        <f>R19-S19</f>
        <v/>
      </c>
      <c r="U19" s="33">
        <f>IF(Y18&lt;=0,0,ROUND(Y18*(1+'Your debts'!$D$9/1200),2))</f>
        <v/>
      </c>
      <c r="V19" s="33">
        <f>IF(U19&lt;=0,0,MIN('Your debts'!$E$9,U19))</f>
        <v/>
      </c>
      <c r="W19" s="33">
        <f>U19-V19</f>
        <v/>
      </c>
      <c r="X19" s="33">
        <f>IF('Your debts'!$F$9="",0,MIN(W19,MAX(0,MAX(0,'Your debts'!$C$19-(G19+L19+Q19+V19+AA19+AF19+AK19+AP19+AU19+AZ19))-(IF(AND('Your debts'!$F$6&lt;&gt;"",'Your debts'!$F$9&lt;&gt;"",'Your debts'!$F$6&lt;'Your debts'!$F$9),H19,0)+IF(AND('Your debts'!$F$7&lt;&gt;"",'Your debts'!$F$9&lt;&gt;"",'Your debts'!$F$7&lt;'Your debts'!$F$9),M19,0)+IF(AND('Your debts'!$F$8&lt;&gt;"",'Your debts'!$F$9&lt;&gt;"",'Your debts'!$F$8&lt;'Your debts'!$F$9),R19,0)+IF(AND('Your debts'!$F$10&lt;&gt;"",'Your debts'!$F$9&lt;&gt;"",'Your debts'!$F$10&lt;'Your debts'!$F$9),AB19,0)+IF(AND('Your debts'!$F$11&lt;&gt;"",'Your debts'!$F$9&lt;&gt;"",'Your debts'!$F$11&lt;'Your debts'!$F$9),AG19,0)+IF(AND('Your debts'!$F$12&lt;&gt;"",'Your debts'!$F$9&lt;&gt;"",'Your debts'!$F$12&lt;'Your debts'!$F$9),AL19,0)+IF(AND('Your debts'!$F$13&lt;&gt;"",'Your debts'!$F$9&lt;&gt;"",'Your debts'!$F$13&lt;'Your debts'!$F$9),AQ19,0)+IF(AND('Your debts'!$F$14&lt;&gt;"",'Your debts'!$F$9&lt;&gt;"",'Your debts'!$F$14&lt;'Your debts'!$F$9),AV19,0)+IF(AND('Your debts'!$F$15&lt;&gt;"",'Your debts'!$F$9&lt;&gt;"",'Your debts'!$F$15&lt;'Your debts'!$F$9),BA19,0)))))</f>
        <v/>
      </c>
      <c r="Y19" s="33">
        <f>W19-X19</f>
        <v/>
      </c>
      <c r="Z19" s="33">
        <f>IF(AD18&lt;=0,0,ROUND(AD18*(1+'Your debts'!$D$10/1200),2))</f>
        <v/>
      </c>
      <c r="AA19" s="33">
        <f>IF(Z19&lt;=0,0,MIN('Your debts'!$E$10,Z19))</f>
        <v/>
      </c>
      <c r="AB19" s="33">
        <f>Z19-AA19</f>
        <v/>
      </c>
      <c r="AC19" s="33">
        <f>IF('Your debts'!$F$10="",0,MIN(AB19,MAX(0,MAX(0,'Your debts'!$C$19-(G19+L19+Q19+V19+AA19+AF19+AK19+AP19+AU19+AZ19))-(IF(AND('Your debts'!$F$6&lt;&gt;"",'Your debts'!$F$10&lt;&gt;"",'Your debts'!$F$6&lt;'Your debts'!$F$10),H19,0)+IF(AND('Your debts'!$F$7&lt;&gt;"",'Your debts'!$F$10&lt;&gt;"",'Your debts'!$F$7&lt;'Your debts'!$F$10),M19,0)+IF(AND('Your debts'!$F$8&lt;&gt;"",'Your debts'!$F$10&lt;&gt;"",'Your debts'!$F$8&lt;'Your debts'!$F$10),R19,0)+IF(AND('Your debts'!$F$9&lt;&gt;"",'Your debts'!$F$10&lt;&gt;"",'Your debts'!$F$9&lt;'Your debts'!$F$10),W19,0)+IF(AND('Your debts'!$F$11&lt;&gt;"",'Your debts'!$F$10&lt;&gt;"",'Your debts'!$F$11&lt;'Your debts'!$F$10),AG19,0)+IF(AND('Your debts'!$F$12&lt;&gt;"",'Your debts'!$F$10&lt;&gt;"",'Your debts'!$F$12&lt;'Your debts'!$F$10),AL19,0)+IF(AND('Your debts'!$F$13&lt;&gt;"",'Your debts'!$F$10&lt;&gt;"",'Your debts'!$F$13&lt;'Your debts'!$F$10),AQ19,0)+IF(AND('Your debts'!$F$14&lt;&gt;"",'Your debts'!$F$10&lt;&gt;"",'Your debts'!$F$14&lt;'Your debts'!$F$10),AV19,0)+IF(AND('Your debts'!$F$15&lt;&gt;"",'Your debts'!$F$10&lt;&gt;"",'Your debts'!$F$15&lt;'Your debts'!$F$10),BA19,0)))))</f>
        <v/>
      </c>
      <c r="AD19" s="33">
        <f>AB19-AC19</f>
        <v/>
      </c>
      <c r="AE19" s="33">
        <f>IF(AI18&lt;=0,0,ROUND(AI18*(1+'Your debts'!$D$11/1200),2))</f>
        <v/>
      </c>
      <c r="AF19" s="33">
        <f>IF(AE19&lt;=0,0,MIN('Your debts'!$E$11,AE19))</f>
        <v/>
      </c>
      <c r="AG19" s="33">
        <f>AE19-AF19</f>
        <v/>
      </c>
      <c r="AH19" s="33">
        <f>IF('Your debts'!$F$11="",0,MIN(AG19,MAX(0,MAX(0,'Your debts'!$C$19-(G19+L19+Q19+V19+AA19+AF19+AK19+AP19+AU19+AZ19))-(IF(AND('Your debts'!$F$6&lt;&gt;"",'Your debts'!$F$11&lt;&gt;"",'Your debts'!$F$6&lt;'Your debts'!$F$11),H19,0)+IF(AND('Your debts'!$F$7&lt;&gt;"",'Your debts'!$F$11&lt;&gt;"",'Your debts'!$F$7&lt;'Your debts'!$F$11),M19,0)+IF(AND('Your debts'!$F$8&lt;&gt;"",'Your debts'!$F$11&lt;&gt;"",'Your debts'!$F$8&lt;'Your debts'!$F$11),R19,0)+IF(AND('Your debts'!$F$9&lt;&gt;"",'Your debts'!$F$11&lt;&gt;"",'Your debts'!$F$9&lt;'Your debts'!$F$11),W19,0)+IF(AND('Your debts'!$F$10&lt;&gt;"",'Your debts'!$F$11&lt;&gt;"",'Your debts'!$F$10&lt;'Your debts'!$F$11),AB19,0)+IF(AND('Your debts'!$F$12&lt;&gt;"",'Your debts'!$F$11&lt;&gt;"",'Your debts'!$F$12&lt;'Your debts'!$F$11),AL19,0)+IF(AND('Your debts'!$F$13&lt;&gt;"",'Your debts'!$F$11&lt;&gt;"",'Your debts'!$F$13&lt;'Your debts'!$F$11),AQ19,0)+IF(AND('Your debts'!$F$14&lt;&gt;"",'Your debts'!$F$11&lt;&gt;"",'Your debts'!$F$14&lt;'Your debts'!$F$11),AV19,0)+IF(AND('Your debts'!$F$15&lt;&gt;"",'Your debts'!$F$11&lt;&gt;"",'Your debts'!$F$15&lt;'Your debts'!$F$11),BA19,0)))))</f>
        <v/>
      </c>
      <c r="AI19" s="33">
        <f>AG19-AH19</f>
        <v/>
      </c>
      <c r="AJ19" s="33">
        <f>IF(AN18&lt;=0,0,ROUND(AN18*(1+'Your debts'!$D$12/1200),2))</f>
        <v/>
      </c>
      <c r="AK19" s="33">
        <f>IF(AJ19&lt;=0,0,MIN('Your debts'!$E$12,AJ19))</f>
        <v/>
      </c>
      <c r="AL19" s="33">
        <f>AJ19-AK19</f>
        <v/>
      </c>
      <c r="AM19" s="33">
        <f>IF('Your debts'!$F$12="",0,MIN(AL19,MAX(0,MAX(0,'Your debts'!$C$19-(G19+L19+Q19+V19+AA19+AF19+AK19+AP19+AU19+AZ19))-(IF(AND('Your debts'!$F$6&lt;&gt;"",'Your debts'!$F$12&lt;&gt;"",'Your debts'!$F$6&lt;'Your debts'!$F$12),H19,0)+IF(AND('Your debts'!$F$7&lt;&gt;"",'Your debts'!$F$12&lt;&gt;"",'Your debts'!$F$7&lt;'Your debts'!$F$12),M19,0)+IF(AND('Your debts'!$F$8&lt;&gt;"",'Your debts'!$F$12&lt;&gt;"",'Your debts'!$F$8&lt;'Your debts'!$F$12),R19,0)+IF(AND('Your debts'!$F$9&lt;&gt;"",'Your debts'!$F$12&lt;&gt;"",'Your debts'!$F$9&lt;'Your debts'!$F$12),W19,0)+IF(AND('Your debts'!$F$10&lt;&gt;"",'Your debts'!$F$12&lt;&gt;"",'Your debts'!$F$10&lt;'Your debts'!$F$12),AB19,0)+IF(AND('Your debts'!$F$11&lt;&gt;"",'Your debts'!$F$12&lt;&gt;"",'Your debts'!$F$11&lt;'Your debts'!$F$12),AG19,0)+IF(AND('Your debts'!$F$13&lt;&gt;"",'Your debts'!$F$12&lt;&gt;"",'Your debts'!$F$13&lt;'Your debts'!$F$12),AQ19,0)+IF(AND('Your debts'!$F$14&lt;&gt;"",'Your debts'!$F$12&lt;&gt;"",'Your debts'!$F$14&lt;'Your debts'!$F$12),AV19,0)+IF(AND('Your debts'!$F$15&lt;&gt;"",'Your debts'!$F$12&lt;&gt;"",'Your debts'!$F$15&lt;'Your debts'!$F$12),BA19,0)))))</f>
        <v/>
      </c>
      <c r="AN19" s="33">
        <f>AL19-AM19</f>
        <v/>
      </c>
      <c r="AO19" s="33">
        <f>IF(AS18&lt;=0,0,ROUND(AS18*(1+'Your debts'!$D$13/1200),2))</f>
        <v/>
      </c>
      <c r="AP19" s="33">
        <f>IF(AO19&lt;=0,0,MIN('Your debts'!$E$13,AO19))</f>
        <v/>
      </c>
      <c r="AQ19" s="33">
        <f>AO19-AP19</f>
        <v/>
      </c>
      <c r="AR19" s="33">
        <f>IF('Your debts'!$F$13="",0,MIN(AQ19,MAX(0,MAX(0,'Your debts'!$C$19-(G19+L19+Q19+V19+AA19+AF19+AK19+AP19+AU19+AZ19))-(IF(AND('Your debts'!$F$6&lt;&gt;"",'Your debts'!$F$13&lt;&gt;"",'Your debts'!$F$6&lt;'Your debts'!$F$13),H19,0)+IF(AND('Your debts'!$F$7&lt;&gt;"",'Your debts'!$F$13&lt;&gt;"",'Your debts'!$F$7&lt;'Your debts'!$F$13),M19,0)+IF(AND('Your debts'!$F$8&lt;&gt;"",'Your debts'!$F$13&lt;&gt;"",'Your debts'!$F$8&lt;'Your debts'!$F$13),R19,0)+IF(AND('Your debts'!$F$9&lt;&gt;"",'Your debts'!$F$13&lt;&gt;"",'Your debts'!$F$9&lt;'Your debts'!$F$13),W19,0)+IF(AND('Your debts'!$F$10&lt;&gt;"",'Your debts'!$F$13&lt;&gt;"",'Your debts'!$F$10&lt;'Your debts'!$F$13),AB19,0)+IF(AND('Your debts'!$F$11&lt;&gt;"",'Your debts'!$F$13&lt;&gt;"",'Your debts'!$F$11&lt;'Your debts'!$F$13),AG19,0)+IF(AND('Your debts'!$F$12&lt;&gt;"",'Your debts'!$F$13&lt;&gt;"",'Your debts'!$F$12&lt;'Your debts'!$F$13),AL19,0)+IF(AND('Your debts'!$F$14&lt;&gt;"",'Your debts'!$F$13&lt;&gt;"",'Your debts'!$F$14&lt;'Your debts'!$F$13),AV19,0)+IF(AND('Your debts'!$F$15&lt;&gt;"",'Your debts'!$F$13&lt;&gt;"",'Your debts'!$F$15&lt;'Your debts'!$F$13),BA19,0)))))</f>
        <v/>
      </c>
      <c r="AS19" s="33">
        <f>AQ19-AR19</f>
        <v/>
      </c>
      <c r="AT19" s="33">
        <f>IF(AX18&lt;=0,0,ROUND(AX18*(1+'Your debts'!$D$14/1200),2))</f>
        <v/>
      </c>
      <c r="AU19" s="33">
        <f>IF(AT19&lt;=0,0,MIN('Your debts'!$E$14,AT19))</f>
        <v/>
      </c>
      <c r="AV19" s="33">
        <f>AT19-AU19</f>
        <v/>
      </c>
      <c r="AW19" s="33">
        <f>IF('Your debts'!$F$14="",0,MIN(AV19,MAX(0,MAX(0,'Your debts'!$C$19-(G19+L19+Q19+V19+AA19+AF19+AK19+AP19+AU19+AZ19))-(IF(AND('Your debts'!$F$6&lt;&gt;"",'Your debts'!$F$14&lt;&gt;"",'Your debts'!$F$6&lt;'Your debts'!$F$14),H19,0)+IF(AND('Your debts'!$F$7&lt;&gt;"",'Your debts'!$F$14&lt;&gt;"",'Your debts'!$F$7&lt;'Your debts'!$F$14),M19,0)+IF(AND('Your debts'!$F$8&lt;&gt;"",'Your debts'!$F$14&lt;&gt;"",'Your debts'!$F$8&lt;'Your debts'!$F$14),R19,0)+IF(AND('Your debts'!$F$9&lt;&gt;"",'Your debts'!$F$14&lt;&gt;"",'Your debts'!$F$9&lt;'Your debts'!$F$14),W19,0)+IF(AND('Your debts'!$F$10&lt;&gt;"",'Your debts'!$F$14&lt;&gt;"",'Your debts'!$F$10&lt;'Your debts'!$F$14),AB19,0)+IF(AND('Your debts'!$F$11&lt;&gt;"",'Your debts'!$F$14&lt;&gt;"",'Your debts'!$F$11&lt;'Your debts'!$F$14),AG19,0)+IF(AND('Your debts'!$F$12&lt;&gt;"",'Your debts'!$F$14&lt;&gt;"",'Your debts'!$F$12&lt;'Your debts'!$F$14),AL19,0)+IF(AND('Your debts'!$F$13&lt;&gt;"",'Your debts'!$F$14&lt;&gt;"",'Your debts'!$F$13&lt;'Your debts'!$F$14),AQ19,0)+IF(AND('Your debts'!$F$15&lt;&gt;"",'Your debts'!$F$14&lt;&gt;"",'Your debts'!$F$15&lt;'Your debts'!$F$14),BA19,0)))))</f>
        <v/>
      </c>
      <c r="AX19" s="33">
        <f>AV19-AW19</f>
        <v/>
      </c>
      <c r="AY19" s="33">
        <f>IF(BC18&lt;=0,0,ROUND(BC18*(1+'Your debts'!$D$15/1200),2))</f>
        <v/>
      </c>
      <c r="AZ19" s="33">
        <f>IF(AY19&lt;=0,0,MIN('Your debts'!$E$15,AY19))</f>
        <v/>
      </c>
      <c r="BA19" s="33">
        <f>AY19-AZ19</f>
        <v/>
      </c>
      <c r="BB19" s="33">
        <f>IF('Your debts'!$F$15="",0,MIN(BA19,MAX(0,MAX(0,'Your debts'!$C$19-(G19+L19+Q19+V19+AA19+AF19+AK19+AP19+AU19+AZ19))-(IF(AND('Your debts'!$F$6&lt;&gt;"",'Your debts'!$F$15&lt;&gt;"",'Your debts'!$F$6&lt;'Your debts'!$F$15),H19,0)+IF(AND('Your debts'!$F$7&lt;&gt;"",'Your debts'!$F$15&lt;&gt;"",'Your debts'!$F$7&lt;'Your debts'!$F$15),M19,0)+IF(AND('Your debts'!$F$8&lt;&gt;"",'Your debts'!$F$15&lt;&gt;"",'Your debts'!$F$8&lt;'Your debts'!$F$15),R19,0)+IF(AND('Your debts'!$F$9&lt;&gt;"",'Your debts'!$F$15&lt;&gt;"",'Your debts'!$F$9&lt;'Your debts'!$F$15),W19,0)+IF(AND('Your debts'!$F$10&lt;&gt;"",'Your debts'!$F$15&lt;&gt;"",'Your debts'!$F$10&lt;'Your debts'!$F$15),AB19,0)+IF(AND('Your debts'!$F$11&lt;&gt;"",'Your debts'!$F$15&lt;&gt;"",'Your debts'!$F$11&lt;'Your debts'!$F$15),AG19,0)+IF(AND('Your debts'!$F$12&lt;&gt;"",'Your debts'!$F$15&lt;&gt;"",'Your debts'!$F$12&lt;'Your debts'!$F$15),AL19,0)+IF(AND('Your debts'!$F$13&lt;&gt;"",'Your debts'!$F$15&lt;&gt;"",'Your debts'!$F$13&lt;'Your debts'!$F$15),AQ19,0)+IF(AND('Your debts'!$F$14&lt;&gt;"",'Your debts'!$F$15&lt;&gt;"",'Your debts'!$F$14&lt;'Your debts'!$F$15),AV19,0)))))</f>
        <v/>
      </c>
      <c r="BC19" s="33">
        <f>BA19-BB19</f>
        <v/>
      </c>
    </row>
    <row r="20">
      <c r="A20" s="30" t="n">
        <v>5</v>
      </c>
      <c r="B20" s="31">
        <f>EDATE($B$15,5)</f>
        <v/>
      </c>
      <c r="C20" s="32">
        <f>IF(J19&lt;=0,0,F20-J19)+IF(O19&lt;=0,0,K20-O19)+IF(T19&lt;=0,0,P20-T19)+IF(Y19&lt;=0,0,U20-Y19)+IF(AD19&lt;=0,0,Z20-AD19)+IF(AI19&lt;=0,0,AE20-AI19)+IF(AN19&lt;=0,0,AJ20-AN19)+IF(AS19&lt;=0,0,AO20-AS19)+IF(AX19&lt;=0,0,AT20-AX19)+IF(BC19&lt;=0,0,AY20-BC19)</f>
        <v/>
      </c>
      <c r="D20" s="32">
        <f>G20+I20+L20+N20+Q20+S20+V20+X20+AA20+AC20+AF20+AH20+AK20+AM20+AP20+AR20+AU20+AW20+AZ20+BB20</f>
        <v/>
      </c>
      <c r="E20" s="32">
        <f>J20+O20+T20+Y20+AD20+AI20+AN20+AS20+AX20+BC20</f>
        <v/>
      </c>
      <c r="F20" s="33">
        <f>IF(J19&lt;=0,0,ROUND(J19*(1+'Your debts'!$D$6/1200),2))</f>
        <v/>
      </c>
      <c r="G20" s="33">
        <f>IF(F20&lt;=0,0,MIN('Your debts'!$E$6,F20))</f>
        <v/>
      </c>
      <c r="H20" s="33">
        <f>F20-G20</f>
        <v/>
      </c>
      <c r="I20" s="33">
        <f>IF('Your debts'!$F$6="",0,MIN(H20,MAX(0,MAX(0,'Your debts'!$C$19-(G20+L20+Q20+V20+AA20+AF20+AK20+AP20+AU20+AZ20))-(IF(AND('Your debts'!$F$7&lt;&gt;"",'Your debts'!$F$6&lt;&gt;"",'Your debts'!$F$7&lt;'Your debts'!$F$6),M20,0)+IF(AND('Your debts'!$F$8&lt;&gt;"",'Your debts'!$F$6&lt;&gt;"",'Your debts'!$F$8&lt;'Your debts'!$F$6),R20,0)+IF(AND('Your debts'!$F$9&lt;&gt;"",'Your debts'!$F$6&lt;&gt;"",'Your debts'!$F$9&lt;'Your debts'!$F$6),W20,0)+IF(AND('Your debts'!$F$10&lt;&gt;"",'Your debts'!$F$6&lt;&gt;"",'Your debts'!$F$10&lt;'Your debts'!$F$6),AB20,0)+IF(AND('Your debts'!$F$11&lt;&gt;"",'Your debts'!$F$6&lt;&gt;"",'Your debts'!$F$11&lt;'Your debts'!$F$6),AG20,0)+IF(AND('Your debts'!$F$12&lt;&gt;"",'Your debts'!$F$6&lt;&gt;"",'Your debts'!$F$12&lt;'Your debts'!$F$6),AL20,0)+IF(AND('Your debts'!$F$13&lt;&gt;"",'Your debts'!$F$6&lt;&gt;"",'Your debts'!$F$13&lt;'Your debts'!$F$6),AQ20,0)+IF(AND('Your debts'!$F$14&lt;&gt;"",'Your debts'!$F$6&lt;&gt;"",'Your debts'!$F$14&lt;'Your debts'!$F$6),AV20,0)+IF(AND('Your debts'!$F$15&lt;&gt;"",'Your debts'!$F$6&lt;&gt;"",'Your debts'!$F$15&lt;'Your debts'!$F$6),BA20,0)))))</f>
        <v/>
      </c>
      <c r="J20" s="33">
        <f>H20-I20</f>
        <v/>
      </c>
      <c r="K20" s="33">
        <f>IF(O19&lt;=0,0,ROUND(O19*(1+'Your debts'!$D$7/1200),2))</f>
        <v/>
      </c>
      <c r="L20" s="33">
        <f>IF(K20&lt;=0,0,MIN('Your debts'!$E$7,K20))</f>
        <v/>
      </c>
      <c r="M20" s="33">
        <f>K20-L20</f>
        <v/>
      </c>
      <c r="N20" s="33">
        <f>IF('Your debts'!$F$7="",0,MIN(M20,MAX(0,MAX(0,'Your debts'!$C$19-(G20+L20+Q20+V20+AA20+AF20+AK20+AP20+AU20+AZ20))-(IF(AND('Your debts'!$F$6&lt;&gt;"",'Your debts'!$F$7&lt;&gt;"",'Your debts'!$F$6&lt;'Your debts'!$F$7),H20,0)+IF(AND('Your debts'!$F$8&lt;&gt;"",'Your debts'!$F$7&lt;&gt;"",'Your debts'!$F$8&lt;'Your debts'!$F$7),R20,0)+IF(AND('Your debts'!$F$9&lt;&gt;"",'Your debts'!$F$7&lt;&gt;"",'Your debts'!$F$9&lt;'Your debts'!$F$7),W20,0)+IF(AND('Your debts'!$F$10&lt;&gt;"",'Your debts'!$F$7&lt;&gt;"",'Your debts'!$F$10&lt;'Your debts'!$F$7),AB20,0)+IF(AND('Your debts'!$F$11&lt;&gt;"",'Your debts'!$F$7&lt;&gt;"",'Your debts'!$F$11&lt;'Your debts'!$F$7),AG20,0)+IF(AND('Your debts'!$F$12&lt;&gt;"",'Your debts'!$F$7&lt;&gt;"",'Your debts'!$F$12&lt;'Your debts'!$F$7),AL20,0)+IF(AND('Your debts'!$F$13&lt;&gt;"",'Your debts'!$F$7&lt;&gt;"",'Your debts'!$F$13&lt;'Your debts'!$F$7),AQ20,0)+IF(AND('Your debts'!$F$14&lt;&gt;"",'Your debts'!$F$7&lt;&gt;"",'Your debts'!$F$14&lt;'Your debts'!$F$7),AV20,0)+IF(AND('Your debts'!$F$15&lt;&gt;"",'Your debts'!$F$7&lt;&gt;"",'Your debts'!$F$15&lt;'Your debts'!$F$7),BA20,0)))))</f>
        <v/>
      </c>
      <c r="O20" s="33">
        <f>M20-N20</f>
        <v/>
      </c>
      <c r="P20" s="33">
        <f>IF(T19&lt;=0,0,ROUND(T19*(1+'Your debts'!$D$8/1200),2))</f>
        <v/>
      </c>
      <c r="Q20" s="33">
        <f>IF(P20&lt;=0,0,MIN('Your debts'!$E$8,P20))</f>
        <v/>
      </c>
      <c r="R20" s="33">
        <f>P20-Q20</f>
        <v/>
      </c>
      <c r="S20" s="33">
        <f>IF('Your debts'!$F$8="",0,MIN(R20,MAX(0,MAX(0,'Your debts'!$C$19-(G20+L20+Q20+V20+AA20+AF20+AK20+AP20+AU20+AZ20))-(IF(AND('Your debts'!$F$6&lt;&gt;"",'Your debts'!$F$8&lt;&gt;"",'Your debts'!$F$6&lt;'Your debts'!$F$8),H20,0)+IF(AND('Your debts'!$F$7&lt;&gt;"",'Your debts'!$F$8&lt;&gt;"",'Your debts'!$F$7&lt;'Your debts'!$F$8),M20,0)+IF(AND('Your debts'!$F$9&lt;&gt;"",'Your debts'!$F$8&lt;&gt;"",'Your debts'!$F$9&lt;'Your debts'!$F$8),W20,0)+IF(AND('Your debts'!$F$10&lt;&gt;"",'Your debts'!$F$8&lt;&gt;"",'Your debts'!$F$10&lt;'Your debts'!$F$8),AB20,0)+IF(AND('Your debts'!$F$11&lt;&gt;"",'Your debts'!$F$8&lt;&gt;"",'Your debts'!$F$11&lt;'Your debts'!$F$8),AG20,0)+IF(AND('Your debts'!$F$12&lt;&gt;"",'Your debts'!$F$8&lt;&gt;"",'Your debts'!$F$12&lt;'Your debts'!$F$8),AL20,0)+IF(AND('Your debts'!$F$13&lt;&gt;"",'Your debts'!$F$8&lt;&gt;"",'Your debts'!$F$13&lt;'Your debts'!$F$8),AQ20,0)+IF(AND('Your debts'!$F$14&lt;&gt;"",'Your debts'!$F$8&lt;&gt;"",'Your debts'!$F$14&lt;'Your debts'!$F$8),AV20,0)+IF(AND('Your debts'!$F$15&lt;&gt;"",'Your debts'!$F$8&lt;&gt;"",'Your debts'!$F$15&lt;'Your debts'!$F$8),BA20,0)))))</f>
        <v/>
      </c>
      <c r="T20" s="33">
        <f>R20-S20</f>
        <v/>
      </c>
      <c r="U20" s="33">
        <f>IF(Y19&lt;=0,0,ROUND(Y19*(1+'Your debts'!$D$9/1200),2))</f>
        <v/>
      </c>
      <c r="V20" s="33">
        <f>IF(U20&lt;=0,0,MIN('Your debts'!$E$9,U20))</f>
        <v/>
      </c>
      <c r="W20" s="33">
        <f>U20-V20</f>
        <v/>
      </c>
      <c r="X20" s="33">
        <f>IF('Your debts'!$F$9="",0,MIN(W20,MAX(0,MAX(0,'Your debts'!$C$19-(G20+L20+Q20+V20+AA20+AF20+AK20+AP20+AU20+AZ20))-(IF(AND('Your debts'!$F$6&lt;&gt;"",'Your debts'!$F$9&lt;&gt;"",'Your debts'!$F$6&lt;'Your debts'!$F$9),H20,0)+IF(AND('Your debts'!$F$7&lt;&gt;"",'Your debts'!$F$9&lt;&gt;"",'Your debts'!$F$7&lt;'Your debts'!$F$9),M20,0)+IF(AND('Your debts'!$F$8&lt;&gt;"",'Your debts'!$F$9&lt;&gt;"",'Your debts'!$F$8&lt;'Your debts'!$F$9),R20,0)+IF(AND('Your debts'!$F$10&lt;&gt;"",'Your debts'!$F$9&lt;&gt;"",'Your debts'!$F$10&lt;'Your debts'!$F$9),AB20,0)+IF(AND('Your debts'!$F$11&lt;&gt;"",'Your debts'!$F$9&lt;&gt;"",'Your debts'!$F$11&lt;'Your debts'!$F$9),AG20,0)+IF(AND('Your debts'!$F$12&lt;&gt;"",'Your debts'!$F$9&lt;&gt;"",'Your debts'!$F$12&lt;'Your debts'!$F$9),AL20,0)+IF(AND('Your debts'!$F$13&lt;&gt;"",'Your debts'!$F$9&lt;&gt;"",'Your debts'!$F$13&lt;'Your debts'!$F$9),AQ20,0)+IF(AND('Your debts'!$F$14&lt;&gt;"",'Your debts'!$F$9&lt;&gt;"",'Your debts'!$F$14&lt;'Your debts'!$F$9),AV20,0)+IF(AND('Your debts'!$F$15&lt;&gt;"",'Your debts'!$F$9&lt;&gt;"",'Your debts'!$F$15&lt;'Your debts'!$F$9),BA20,0)))))</f>
        <v/>
      </c>
      <c r="Y20" s="33">
        <f>W20-X20</f>
        <v/>
      </c>
      <c r="Z20" s="33">
        <f>IF(AD19&lt;=0,0,ROUND(AD19*(1+'Your debts'!$D$10/1200),2))</f>
        <v/>
      </c>
      <c r="AA20" s="33">
        <f>IF(Z20&lt;=0,0,MIN('Your debts'!$E$10,Z20))</f>
        <v/>
      </c>
      <c r="AB20" s="33">
        <f>Z20-AA20</f>
        <v/>
      </c>
      <c r="AC20" s="33">
        <f>IF('Your debts'!$F$10="",0,MIN(AB20,MAX(0,MAX(0,'Your debts'!$C$19-(G20+L20+Q20+V20+AA20+AF20+AK20+AP20+AU20+AZ20))-(IF(AND('Your debts'!$F$6&lt;&gt;"",'Your debts'!$F$10&lt;&gt;"",'Your debts'!$F$6&lt;'Your debts'!$F$10),H20,0)+IF(AND('Your debts'!$F$7&lt;&gt;"",'Your debts'!$F$10&lt;&gt;"",'Your debts'!$F$7&lt;'Your debts'!$F$10),M20,0)+IF(AND('Your debts'!$F$8&lt;&gt;"",'Your debts'!$F$10&lt;&gt;"",'Your debts'!$F$8&lt;'Your debts'!$F$10),R20,0)+IF(AND('Your debts'!$F$9&lt;&gt;"",'Your debts'!$F$10&lt;&gt;"",'Your debts'!$F$9&lt;'Your debts'!$F$10),W20,0)+IF(AND('Your debts'!$F$11&lt;&gt;"",'Your debts'!$F$10&lt;&gt;"",'Your debts'!$F$11&lt;'Your debts'!$F$10),AG20,0)+IF(AND('Your debts'!$F$12&lt;&gt;"",'Your debts'!$F$10&lt;&gt;"",'Your debts'!$F$12&lt;'Your debts'!$F$10),AL20,0)+IF(AND('Your debts'!$F$13&lt;&gt;"",'Your debts'!$F$10&lt;&gt;"",'Your debts'!$F$13&lt;'Your debts'!$F$10),AQ20,0)+IF(AND('Your debts'!$F$14&lt;&gt;"",'Your debts'!$F$10&lt;&gt;"",'Your debts'!$F$14&lt;'Your debts'!$F$10),AV20,0)+IF(AND('Your debts'!$F$15&lt;&gt;"",'Your debts'!$F$10&lt;&gt;"",'Your debts'!$F$15&lt;'Your debts'!$F$10),BA20,0)))))</f>
        <v/>
      </c>
      <c r="AD20" s="33">
        <f>AB20-AC20</f>
        <v/>
      </c>
      <c r="AE20" s="33">
        <f>IF(AI19&lt;=0,0,ROUND(AI19*(1+'Your debts'!$D$11/1200),2))</f>
        <v/>
      </c>
      <c r="AF20" s="33">
        <f>IF(AE20&lt;=0,0,MIN('Your debts'!$E$11,AE20))</f>
        <v/>
      </c>
      <c r="AG20" s="33">
        <f>AE20-AF20</f>
        <v/>
      </c>
      <c r="AH20" s="33">
        <f>IF('Your debts'!$F$11="",0,MIN(AG20,MAX(0,MAX(0,'Your debts'!$C$19-(G20+L20+Q20+V20+AA20+AF20+AK20+AP20+AU20+AZ20))-(IF(AND('Your debts'!$F$6&lt;&gt;"",'Your debts'!$F$11&lt;&gt;"",'Your debts'!$F$6&lt;'Your debts'!$F$11),H20,0)+IF(AND('Your debts'!$F$7&lt;&gt;"",'Your debts'!$F$11&lt;&gt;"",'Your debts'!$F$7&lt;'Your debts'!$F$11),M20,0)+IF(AND('Your debts'!$F$8&lt;&gt;"",'Your debts'!$F$11&lt;&gt;"",'Your debts'!$F$8&lt;'Your debts'!$F$11),R20,0)+IF(AND('Your debts'!$F$9&lt;&gt;"",'Your debts'!$F$11&lt;&gt;"",'Your debts'!$F$9&lt;'Your debts'!$F$11),W20,0)+IF(AND('Your debts'!$F$10&lt;&gt;"",'Your debts'!$F$11&lt;&gt;"",'Your debts'!$F$10&lt;'Your debts'!$F$11),AB20,0)+IF(AND('Your debts'!$F$12&lt;&gt;"",'Your debts'!$F$11&lt;&gt;"",'Your debts'!$F$12&lt;'Your debts'!$F$11),AL20,0)+IF(AND('Your debts'!$F$13&lt;&gt;"",'Your debts'!$F$11&lt;&gt;"",'Your debts'!$F$13&lt;'Your debts'!$F$11),AQ20,0)+IF(AND('Your debts'!$F$14&lt;&gt;"",'Your debts'!$F$11&lt;&gt;"",'Your debts'!$F$14&lt;'Your debts'!$F$11),AV20,0)+IF(AND('Your debts'!$F$15&lt;&gt;"",'Your debts'!$F$11&lt;&gt;"",'Your debts'!$F$15&lt;'Your debts'!$F$11),BA20,0)))))</f>
        <v/>
      </c>
      <c r="AI20" s="33">
        <f>AG20-AH20</f>
        <v/>
      </c>
      <c r="AJ20" s="33">
        <f>IF(AN19&lt;=0,0,ROUND(AN19*(1+'Your debts'!$D$12/1200),2))</f>
        <v/>
      </c>
      <c r="AK20" s="33">
        <f>IF(AJ20&lt;=0,0,MIN('Your debts'!$E$12,AJ20))</f>
        <v/>
      </c>
      <c r="AL20" s="33">
        <f>AJ20-AK20</f>
        <v/>
      </c>
      <c r="AM20" s="33">
        <f>IF('Your debts'!$F$12="",0,MIN(AL20,MAX(0,MAX(0,'Your debts'!$C$19-(G20+L20+Q20+V20+AA20+AF20+AK20+AP20+AU20+AZ20))-(IF(AND('Your debts'!$F$6&lt;&gt;"",'Your debts'!$F$12&lt;&gt;"",'Your debts'!$F$6&lt;'Your debts'!$F$12),H20,0)+IF(AND('Your debts'!$F$7&lt;&gt;"",'Your debts'!$F$12&lt;&gt;"",'Your debts'!$F$7&lt;'Your debts'!$F$12),M20,0)+IF(AND('Your debts'!$F$8&lt;&gt;"",'Your debts'!$F$12&lt;&gt;"",'Your debts'!$F$8&lt;'Your debts'!$F$12),R20,0)+IF(AND('Your debts'!$F$9&lt;&gt;"",'Your debts'!$F$12&lt;&gt;"",'Your debts'!$F$9&lt;'Your debts'!$F$12),W20,0)+IF(AND('Your debts'!$F$10&lt;&gt;"",'Your debts'!$F$12&lt;&gt;"",'Your debts'!$F$10&lt;'Your debts'!$F$12),AB20,0)+IF(AND('Your debts'!$F$11&lt;&gt;"",'Your debts'!$F$12&lt;&gt;"",'Your debts'!$F$11&lt;'Your debts'!$F$12),AG20,0)+IF(AND('Your debts'!$F$13&lt;&gt;"",'Your debts'!$F$12&lt;&gt;"",'Your debts'!$F$13&lt;'Your debts'!$F$12),AQ20,0)+IF(AND('Your debts'!$F$14&lt;&gt;"",'Your debts'!$F$12&lt;&gt;"",'Your debts'!$F$14&lt;'Your debts'!$F$12),AV20,0)+IF(AND('Your debts'!$F$15&lt;&gt;"",'Your debts'!$F$12&lt;&gt;"",'Your debts'!$F$15&lt;'Your debts'!$F$12),BA20,0)))))</f>
        <v/>
      </c>
      <c r="AN20" s="33">
        <f>AL20-AM20</f>
        <v/>
      </c>
      <c r="AO20" s="33">
        <f>IF(AS19&lt;=0,0,ROUND(AS19*(1+'Your debts'!$D$13/1200),2))</f>
        <v/>
      </c>
      <c r="AP20" s="33">
        <f>IF(AO20&lt;=0,0,MIN('Your debts'!$E$13,AO20))</f>
        <v/>
      </c>
      <c r="AQ20" s="33">
        <f>AO20-AP20</f>
        <v/>
      </c>
      <c r="AR20" s="33">
        <f>IF('Your debts'!$F$13="",0,MIN(AQ20,MAX(0,MAX(0,'Your debts'!$C$19-(G20+L20+Q20+V20+AA20+AF20+AK20+AP20+AU20+AZ20))-(IF(AND('Your debts'!$F$6&lt;&gt;"",'Your debts'!$F$13&lt;&gt;"",'Your debts'!$F$6&lt;'Your debts'!$F$13),H20,0)+IF(AND('Your debts'!$F$7&lt;&gt;"",'Your debts'!$F$13&lt;&gt;"",'Your debts'!$F$7&lt;'Your debts'!$F$13),M20,0)+IF(AND('Your debts'!$F$8&lt;&gt;"",'Your debts'!$F$13&lt;&gt;"",'Your debts'!$F$8&lt;'Your debts'!$F$13),R20,0)+IF(AND('Your debts'!$F$9&lt;&gt;"",'Your debts'!$F$13&lt;&gt;"",'Your debts'!$F$9&lt;'Your debts'!$F$13),W20,0)+IF(AND('Your debts'!$F$10&lt;&gt;"",'Your debts'!$F$13&lt;&gt;"",'Your debts'!$F$10&lt;'Your debts'!$F$13),AB20,0)+IF(AND('Your debts'!$F$11&lt;&gt;"",'Your debts'!$F$13&lt;&gt;"",'Your debts'!$F$11&lt;'Your debts'!$F$13),AG20,0)+IF(AND('Your debts'!$F$12&lt;&gt;"",'Your debts'!$F$13&lt;&gt;"",'Your debts'!$F$12&lt;'Your debts'!$F$13),AL20,0)+IF(AND('Your debts'!$F$14&lt;&gt;"",'Your debts'!$F$13&lt;&gt;"",'Your debts'!$F$14&lt;'Your debts'!$F$13),AV20,0)+IF(AND('Your debts'!$F$15&lt;&gt;"",'Your debts'!$F$13&lt;&gt;"",'Your debts'!$F$15&lt;'Your debts'!$F$13),BA20,0)))))</f>
        <v/>
      </c>
      <c r="AS20" s="33">
        <f>AQ20-AR20</f>
        <v/>
      </c>
      <c r="AT20" s="33">
        <f>IF(AX19&lt;=0,0,ROUND(AX19*(1+'Your debts'!$D$14/1200),2))</f>
        <v/>
      </c>
      <c r="AU20" s="33">
        <f>IF(AT20&lt;=0,0,MIN('Your debts'!$E$14,AT20))</f>
        <v/>
      </c>
      <c r="AV20" s="33">
        <f>AT20-AU20</f>
        <v/>
      </c>
      <c r="AW20" s="33">
        <f>IF('Your debts'!$F$14="",0,MIN(AV20,MAX(0,MAX(0,'Your debts'!$C$19-(G20+L20+Q20+V20+AA20+AF20+AK20+AP20+AU20+AZ20))-(IF(AND('Your debts'!$F$6&lt;&gt;"",'Your debts'!$F$14&lt;&gt;"",'Your debts'!$F$6&lt;'Your debts'!$F$14),H20,0)+IF(AND('Your debts'!$F$7&lt;&gt;"",'Your debts'!$F$14&lt;&gt;"",'Your debts'!$F$7&lt;'Your debts'!$F$14),M20,0)+IF(AND('Your debts'!$F$8&lt;&gt;"",'Your debts'!$F$14&lt;&gt;"",'Your debts'!$F$8&lt;'Your debts'!$F$14),R20,0)+IF(AND('Your debts'!$F$9&lt;&gt;"",'Your debts'!$F$14&lt;&gt;"",'Your debts'!$F$9&lt;'Your debts'!$F$14),W20,0)+IF(AND('Your debts'!$F$10&lt;&gt;"",'Your debts'!$F$14&lt;&gt;"",'Your debts'!$F$10&lt;'Your debts'!$F$14),AB20,0)+IF(AND('Your debts'!$F$11&lt;&gt;"",'Your debts'!$F$14&lt;&gt;"",'Your debts'!$F$11&lt;'Your debts'!$F$14),AG20,0)+IF(AND('Your debts'!$F$12&lt;&gt;"",'Your debts'!$F$14&lt;&gt;"",'Your debts'!$F$12&lt;'Your debts'!$F$14),AL20,0)+IF(AND('Your debts'!$F$13&lt;&gt;"",'Your debts'!$F$14&lt;&gt;"",'Your debts'!$F$13&lt;'Your debts'!$F$14),AQ20,0)+IF(AND('Your debts'!$F$15&lt;&gt;"",'Your debts'!$F$14&lt;&gt;"",'Your debts'!$F$15&lt;'Your debts'!$F$14),BA20,0)))))</f>
        <v/>
      </c>
      <c r="AX20" s="33">
        <f>AV20-AW20</f>
        <v/>
      </c>
      <c r="AY20" s="33">
        <f>IF(BC19&lt;=0,0,ROUND(BC19*(1+'Your debts'!$D$15/1200),2))</f>
        <v/>
      </c>
      <c r="AZ20" s="33">
        <f>IF(AY20&lt;=0,0,MIN('Your debts'!$E$15,AY20))</f>
        <v/>
      </c>
      <c r="BA20" s="33">
        <f>AY20-AZ20</f>
        <v/>
      </c>
      <c r="BB20" s="33">
        <f>IF('Your debts'!$F$15="",0,MIN(BA20,MAX(0,MAX(0,'Your debts'!$C$19-(G20+L20+Q20+V20+AA20+AF20+AK20+AP20+AU20+AZ20))-(IF(AND('Your debts'!$F$6&lt;&gt;"",'Your debts'!$F$15&lt;&gt;"",'Your debts'!$F$6&lt;'Your debts'!$F$15),H20,0)+IF(AND('Your debts'!$F$7&lt;&gt;"",'Your debts'!$F$15&lt;&gt;"",'Your debts'!$F$7&lt;'Your debts'!$F$15),M20,0)+IF(AND('Your debts'!$F$8&lt;&gt;"",'Your debts'!$F$15&lt;&gt;"",'Your debts'!$F$8&lt;'Your debts'!$F$15),R20,0)+IF(AND('Your debts'!$F$9&lt;&gt;"",'Your debts'!$F$15&lt;&gt;"",'Your debts'!$F$9&lt;'Your debts'!$F$15),W20,0)+IF(AND('Your debts'!$F$10&lt;&gt;"",'Your debts'!$F$15&lt;&gt;"",'Your debts'!$F$10&lt;'Your debts'!$F$15),AB20,0)+IF(AND('Your debts'!$F$11&lt;&gt;"",'Your debts'!$F$15&lt;&gt;"",'Your debts'!$F$11&lt;'Your debts'!$F$15),AG20,0)+IF(AND('Your debts'!$F$12&lt;&gt;"",'Your debts'!$F$15&lt;&gt;"",'Your debts'!$F$12&lt;'Your debts'!$F$15),AL20,0)+IF(AND('Your debts'!$F$13&lt;&gt;"",'Your debts'!$F$15&lt;&gt;"",'Your debts'!$F$13&lt;'Your debts'!$F$15),AQ20,0)+IF(AND('Your debts'!$F$14&lt;&gt;"",'Your debts'!$F$15&lt;&gt;"",'Your debts'!$F$14&lt;'Your debts'!$F$15),AV20,0)))))</f>
        <v/>
      </c>
      <c r="BC20" s="33">
        <f>BA20-BB20</f>
        <v/>
      </c>
    </row>
    <row r="21">
      <c r="A21" s="30" t="n">
        <v>6</v>
      </c>
      <c r="B21" s="31">
        <f>EDATE($B$15,6)</f>
        <v/>
      </c>
      <c r="C21" s="32">
        <f>IF(J20&lt;=0,0,F21-J20)+IF(O20&lt;=0,0,K21-O20)+IF(T20&lt;=0,0,P21-T20)+IF(Y20&lt;=0,0,U21-Y20)+IF(AD20&lt;=0,0,Z21-AD20)+IF(AI20&lt;=0,0,AE21-AI20)+IF(AN20&lt;=0,0,AJ21-AN20)+IF(AS20&lt;=0,0,AO21-AS20)+IF(AX20&lt;=0,0,AT21-AX20)+IF(BC20&lt;=0,0,AY21-BC20)</f>
        <v/>
      </c>
      <c r="D21" s="32">
        <f>G21+I21+L21+N21+Q21+S21+V21+X21+AA21+AC21+AF21+AH21+AK21+AM21+AP21+AR21+AU21+AW21+AZ21+BB21</f>
        <v/>
      </c>
      <c r="E21" s="32">
        <f>J21+O21+T21+Y21+AD21+AI21+AN21+AS21+AX21+BC21</f>
        <v/>
      </c>
      <c r="F21" s="33">
        <f>IF(J20&lt;=0,0,ROUND(J20*(1+'Your debts'!$D$6/1200),2))</f>
        <v/>
      </c>
      <c r="G21" s="33">
        <f>IF(F21&lt;=0,0,MIN('Your debts'!$E$6,F21))</f>
        <v/>
      </c>
      <c r="H21" s="33">
        <f>F21-G21</f>
        <v/>
      </c>
      <c r="I21" s="33">
        <f>IF('Your debts'!$F$6="",0,MIN(H21,MAX(0,MAX(0,'Your debts'!$C$19-(G21+L21+Q21+V21+AA21+AF21+AK21+AP21+AU21+AZ21))-(IF(AND('Your debts'!$F$7&lt;&gt;"",'Your debts'!$F$6&lt;&gt;"",'Your debts'!$F$7&lt;'Your debts'!$F$6),M21,0)+IF(AND('Your debts'!$F$8&lt;&gt;"",'Your debts'!$F$6&lt;&gt;"",'Your debts'!$F$8&lt;'Your debts'!$F$6),R21,0)+IF(AND('Your debts'!$F$9&lt;&gt;"",'Your debts'!$F$6&lt;&gt;"",'Your debts'!$F$9&lt;'Your debts'!$F$6),W21,0)+IF(AND('Your debts'!$F$10&lt;&gt;"",'Your debts'!$F$6&lt;&gt;"",'Your debts'!$F$10&lt;'Your debts'!$F$6),AB21,0)+IF(AND('Your debts'!$F$11&lt;&gt;"",'Your debts'!$F$6&lt;&gt;"",'Your debts'!$F$11&lt;'Your debts'!$F$6),AG21,0)+IF(AND('Your debts'!$F$12&lt;&gt;"",'Your debts'!$F$6&lt;&gt;"",'Your debts'!$F$12&lt;'Your debts'!$F$6),AL21,0)+IF(AND('Your debts'!$F$13&lt;&gt;"",'Your debts'!$F$6&lt;&gt;"",'Your debts'!$F$13&lt;'Your debts'!$F$6),AQ21,0)+IF(AND('Your debts'!$F$14&lt;&gt;"",'Your debts'!$F$6&lt;&gt;"",'Your debts'!$F$14&lt;'Your debts'!$F$6),AV21,0)+IF(AND('Your debts'!$F$15&lt;&gt;"",'Your debts'!$F$6&lt;&gt;"",'Your debts'!$F$15&lt;'Your debts'!$F$6),BA21,0)))))</f>
        <v/>
      </c>
      <c r="J21" s="33">
        <f>H21-I21</f>
        <v/>
      </c>
      <c r="K21" s="33">
        <f>IF(O20&lt;=0,0,ROUND(O20*(1+'Your debts'!$D$7/1200),2))</f>
        <v/>
      </c>
      <c r="L21" s="33">
        <f>IF(K21&lt;=0,0,MIN('Your debts'!$E$7,K21))</f>
        <v/>
      </c>
      <c r="M21" s="33">
        <f>K21-L21</f>
        <v/>
      </c>
      <c r="N21" s="33">
        <f>IF('Your debts'!$F$7="",0,MIN(M21,MAX(0,MAX(0,'Your debts'!$C$19-(G21+L21+Q21+V21+AA21+AF21+AK21+AP21+AU21+AZ21))-(IF(AND('Your debts'!$F$6&lt;&gt;"",'Your debts'!$F$7&lt;&gt;"",'Your debts'!$F$6&lt;'Your debts'!$F$7),H21,0)+IF(AND('Your debts'!$F$8&lt;&gt;"",'Your debts'!$F$7&lt;&gt;"",'Your debts'!$F$8&lt;'Your debts'!$F$7),R21,0)+IF(AND('Your debts'!$F$9&lt;&gt;"",'Your debts'!$F$7&lt;&gt;"",'Your debts'!$F$9&lt;'Your debts'!$F$7),W21,0)+IF(AND('Your debts'!$F$10&lt;&gt;"",'Your debts'!$F$7&lt;&gt;"",'Your debts'!$F$10&lt;'Your debts'!$F$7),AB21,0)+IF(AND('Your debts'!$F$11&lt;&gt;"",'Your debts'!$F$7&lt;&gt;"",'Your debts'!$F$11&lt;'Your debts'!$F$7),AG21,0)+IF(AND('Your debts'!$F$12&lt;&gt;"",'Your debts'!$F$7&lt;&gt;"",'Your debts'!$F$12&lt;'Your debts'!$F$7),AL21,0)+IF(AND('Your debts'!$F$13&lt;&gt;"",'Your debts'!$F$7&lt;&gt;"",'Your debts'!$F$13&lt;'Your debts'!$F$7),AQ21,0)+IF(AND('Your debts'!$F$14&lt;&gt;"",'Your debts'!$F$7&lt;&gt;"",'Your debts'!$F$14&lt;'Your debts'!$F$7),AV21,0)+IF(AND('Your debts'!$F$15&lt;&gt;"",'Your debts'!$F$7&lt;&gt;"",'Your debts'!$F$15&lt;'Your debts'!$F$7),BA21,0)))))</f>
        <v/>
      </c>
      <c r="O21" s="33">
        <f>M21-N21</f>
        <v/>
      </c>
      <c r="P21" s="33">
        <f>IF(T20&lt;=0,0,ROUND(T20*(1+'Your debts'!$D$8/1200),2))</f>
        <v/>
      </c>
      <c r="Q21" s="33">
        <f>IF(P21&lt;=0,0,MIN('Your debts'!$E$8,P21))</f>
        <v/>
      </c>
      <c r="R21" s="33">
        <f>P21-Q21</f>
        <v/>
      </c>
      <c r="S21" s="33">
        <f>IF('Your debts'!$F$8="",0,MIN(R21,MAX(0,MAX(0,'Your debts'!$C$19-(G21+L21+Q21+V21+AA21+AF21+AK21+AP21+AU21+AZ21))-(IF(AND('Your debts'!$F$6&lt;&gt;"",'Your debts'!$F$8&lt;&gt;"",'Your debts'!$F$6&lt;'Your debts'!$F$8),H21,0)+IF(AND('Your debts'!$F$7&lt;&gt;"",'Your debts'!$F$8&lt;&gt;"",'Your debts'!$F$7&lt;'Your debts'!$F$8),M21,0)+IF(AND('Your debts'!$F$9&lt;&gt;"",'Your debts'!$F$8&lt;&gt;"",'Your debts'!$F$9&lt;'Your debts'!$F$8),W21,0)+IF(AND('Your debts'!$F$10&lt;&gt;"",'Your debts'!$F$8&lt;&gt;"",'Your debts'!$F$10&lt;'Your debts'!$F$8),AB21,0)+IF(AND('Your debts'!$F$11&lt;&gt;"",'Your debts'!$F$8&lt;&gt;"",'Your debts'!$F$11&lt;'Your debts'!$F$8),AG21,0)+IF(AND('Your debts'!$F$12&lt;&gt;"",'Your debts'!$F$8&lt;&gt;"",'Your debts'!$F$12&lt;'Your debts'!$F$8),AL21,0)+IF(AND('Your debts'!$F$13&lt;&gt;"",'Your debts'!$F$8&lt;&gt;"",'Your debts'!$F$13&lt;'Your debts'!$F$8),AQ21,0)+IF(AND('Your debts'!$F$14&lt;&gt;"",'Your debts'!$F$8&lt;&gt;"",'Your debts'!$F$14&lt;'Your debts'!$F$8),AV21,0)+IF(AND('Your debts'!$F$15&lt;&gt;"",'Your debts'!$F$8&lt;&gt;"",'Your debts'!$F$15&lt;'Your debts'!$F$8),BA21,0)))))</f>
        <v/>
      </c>
      <c r="T21" s="33">
        <f>R21-S21</f>
        <v/>
      </c>
      <c r="U21" s="33">
        <f>IF(Y20&lt;=0,0,ROUND(Y20*(1+'Your debts'!$D$9/1200),2))</f>
        <v/>
      </c>
      <c r="V21" s="33">
        <f>IF(U21&lt;=0,0,MIN('Your debts'!$E$9,U21))</f>
        <v/>
      </c>
      <c r="W21" s="33">
        <f>U21-V21</f>
        <v/>
      </c>
      <c r="X21" s="33">
        <f>IF('Your debts'!$F$9="",0,MIN(W21,MAX(0,MAX(0,'Your debts'!$C$19-(G21+L21+Q21+V21+AA21+AF21+AK21+AP21+AU21+AZ21))-(IF(AND('Your debts'!$F$6&lt;&gt;"",'Your debts'!$F$9&lt;&gt;"",'Your debts'!$F$6&lt;'Your debts'!$F$9),H21,0)+IF(AND('Your debts'!$F$7&lt;&gt;"",'Your debts'!$F$9&lt;&gt;"",'Your debts'!$F$7&lt;'Your debts'!$F$9),M21,0)+IF(AND('Your debts'!$F$8&lt;&gt;"",'Your debts'!$F$9&lt;&gt;"",'Your debts'!$F$8&lt;'Your debts'!$F$9),R21,0)+IF(AND('Your debts'!$F$10&lt;&gt;"",'Your debts'!$F$9&lt;&gt;"",'Your debts'!$F$10&lt;'Your debts'!$F$9),AB21,0)+IF(AND('Your debts'!$F$11&lt;&gt;"",'Your debts'!$F$9&lt;&gt;"",'Your debts'!$F$11&lt;'Your debts'!$F$9),AG21,0)+IF(AND('Your debts'!$F$12&lt;&gt;"",'Your debts'!$F$9&lt;&gt;"",'Your debts'!$F$12&lt;'Your debts'!$F$9),AL21,0)+IF(AND('Your debts'!$F$13&lt;&gt;"",'Your debts'!$F$9&lt;&gt;"",'Your debts'!$F$13&lt;'Your debts'!$F$9),AQ21,0)+IF(AND('Your debts'!$F$14&lt;&gt;"",'Your debts'!$F$9&lt;&gt;"",'Your debts'!$F$14&lt;'Your debts'!$F$9),AV21,0)+IF(AND('Your debts'!$F$15&lt;&gt;"",'Your debts'!$F$9&lt;&gt;"",'Your debts'!$F$15&lt;'Your debts'!$F$9),BA21,0)))))</f>
        <v/>
      </c>
      <c r="Y21" s="33">
        <f>W21-X21</f>
        <v/>
      </c>
      <c r="Z21" s="33">
        <f>IF(AD20&lt;=0,0,ROUND(AD20*(1+'Your debts'!$D$10/1200),2))</f>
        <v/>
      </c>
      <c r="AA21" s="33">
        <f>IF(Z21&lt;=0,0,MIN('Your debts'!$E$10,Z21))</f>
        <v/>
      </c>
      <c r="AB21" s="33">
        <f>Z21-AA21</f>
        <v/>
      </c>
      <c r="AC21" s="33">
        <f>IF('Your debts'!$F$10="",0,MIN(AB21,MAX(0,MAX(0,'Your debts'!$C$19-(G21+L21+Q21+V21+AA21+AF21+AK21+AP21+AU21+AZ21))-(IF(AND('Your debts'!$F$6&lt;&gt;"",'Your debts'!$F$10&lt;&gt;"",'Your debts'!$F$6&lt;'Your debts'!$F$10),H21,0)+IF(AND('Your debts'!$F$7&lt;&gt;"",'Your debts'!$F$10&lt;&gt;"",'Your debts'!$F$7&lt;'Your debts'!$F$10),M21,0)+IF(AND('Your debts'!$F$8&lt;&gt;"",'Your debts'!$F$10&lt;&gt;"",'Your debts'!$F$8&lt;'Your debts'!$F$10),R21,0)+IF(AND('Your debts'!$F$9&lt;&gt;"",'Your debts'!$F$10&lt;&gt;"",'Your debts'!$F$9&lt;'Your debts'!$F$10),W21,0)+IF(AND('Your debts'!$F$11&lt;&gt;"",'Your debts'!$F$10&lt;&gt;"",'Your debts'!$F$11&lt;'Your debts'!$F$10),AG21,0)+IF(AND('Your debts'!$F$12&lt;&gt;"",'Your debts'!$F$10&lt;&gt;"",'Your debts'!$F$12&lt;'Your debts'!$F$10),AL21,0)+IF(AND('Your debts'!$F$13&lt;&gt;"",'Your debts'!$F$10&lt;&gt;"",'Your debts'!$F$13&lt;'Your debts'!$F$10),AQ21,0)+IF(AND('Your debts'!$F$14&lt;&gt;"",'Your debts'!$F$10&lt;&gt;"",'Your debts'!$F$14&lt;'Your debts'!$F$10),AV21,0)+IF(AND('Your debts'!$F$15&lt;&gt;"",'Your debts'!$F$10&lt;&gt;"",'Your debts'!$F$15&lt;'Your debts'!$F$10),BA21,0)))))</f>
        <v/>
      </c>
      <c r="AD21" s="33">
        <f>AB21-AC21</f>
        <v/>
      </c>
      <c r="AE21" s="33">
        <f>IF(AI20&lt;=0,0,ROUND(AI20*(1+'Your debts'!$D$11/1200),2))</f>
        <v/>
      </c>
      <c r="AF21" s="33">
        <f>IF(AE21&lt;=0,0,MIN('Your debts'!$E$11,AE21))</f>
        <v/>
      </c>
      <c r="AG21" s="33">
        <f>AE21-AF21</f>
        <v/>
      </c>
      <c r="AH21" s="33">
        <f>IF('Your debts'!$F$11="",0,MIN(AG21,MAX(0,MAX(0,'Your debts'!$C$19-(G21+L21+Q21+V21+AA21+AF21+AK21+AP21+AU21+AZ21))-(IF(AND('Your debts'!$F$6&lt;&gt;"",'Your debts'!$F$11&lt;&gt;"",'Your debts'!$F$6&lt;'Your debts'!$F$11),H21,0)+IF(AND('Your debts'!$F$7&lt;&gt;"",'Your debts'!$F$11&lt;&gt;"",'Your debts'!$F$7&lt;'Your debts'!$F$11),M21,0)+IF(AND('Your debts'!$F$8&lt;&gt;"",'Your debts'!$F$11&lt;&gt;"",'Your debts'!$F$8&lt;'Your debts'!$F$11),R21,0)+IF(AND('Your debts'!$F$9&lt;&gt;"",'Your debts'!$F$11&lt;&gt;"",'Your debts'!$F$9&lt;'Your debts'!$F$11),W21,0)+IF(AND('Your debts'!$F$10&lt;&gt;"",'Your debts'!$F$11&lt;&gt;"",'Your debts'!$F$10&lt;'Your debts'!$F$11),AB21,0)+IF(AND('Your debts'!$F$12&lt;&gt;"",'Your debts'!$F$11&lt;&gt;"",'Your debts'!$F$12&lt;'Your debts'!$F$11),AL21,0)+IF(AND('Your debts'!$F$13&lt;&gt;"",'Your debts'!$F$11&lt;&gt;"",'Your debts'!$F$13&lt;'Your debts'!$F$11),AQ21,0)+IF(AND('Your debts'!$F$14&lt;&gt;"",'Your debts'!$F$11&lt;&gt;"",'Your debts'!$F$14&lt;'Your debts'!$F$11),AV21,0)+IF(AND('Your debts'!$F$15&lt;&gt;"",'Your debts'!$F$11&lt;&gt;"",'Your debts'!$F$15&lt;'Your debts'!$F$11),BA21,0)))))</f>
        <v/>
      </c>
      <c r="AI21" s="33">
        <f>AG21-AH21</f>
        <v/>
      </c>
      <c r="AJ21" s="33">
        <f>IF(AN20&lt;=0,0,ROUND(AN20*(1+'Your debts'!$D$12/1200),2))</f>
        <v/>
      </c>
      <c r="AK21" s="33">
        <f>IF(AJ21&lt;=0,0,MIN('Your debts'!$E$12,AJ21))</f>
        <v/>
      </c>
      <c r="AL21" s="33">
        <f>AJ21-AK21</f>
        <v/>
      </c>
      <c r="AM21" s="33">
        <f>IF('Your debts'!$F$12="",0,MIN(AL21,MAX(0,MAX(0,'Your debts'!$C$19-(G21+L21+Q21+V21+AA21+AF21+AK21+AP21+AU21+AZ21))-(IF(AND('Your debts'!$F$6&lt;&gt;"",'Your debts'!$F$12&lt;&gt;"",'Your debts'!$F$6&lt;'Your debts'!$F$12),H21,0)+IF(AND('Your debts'!$F$7&lt;&gt;"",'Your debts'!$F$12&lt;&gt;"",'Your debts'!$F$7&lt;'Your debts'!$F$12),M21,0)+IF(AND('Your debts'!$F$8&lt;&gt;"",'Your debts'!$F$12&lt;&gt;"",'Your debts'!$F$8&lt;'Your debts'!$F$12),R21,0)+IF(AND('Your debts'!$F$9&lt;&gt;"",'Your debts'!$F$12&lt;&gt;"",'Your debts'!$F$9&lt;'Your debts'!$F$12),W21,0)+IF(AND('Your debts'!$F$10&lt;&gt;"",'Your debts'!$F$12&lt;&gt;"",'Your debts'!$F$10&lt;'Your debts'!$F$12),AB21,0)+IF(AND('Your debts'!$F$11&lt;&gt;"",'Your debts'!$F$12&lt;&gt;"",'Your debts'!$F$11&lt;'Your debts'!$F$12),AG21,0)+IF(AND('Your debts'!$F$13&lt;&gt;"",'Your debts'!$F$12&lt;&gt;"",'Your debts'!$F$13&lt;'Your debts'!$F$12),AQ21,0)+IF(AND('Your debts'!$F$14&lt;&gt;"",'Your debts'!$F$12&lt;&gt;"",'Your debts'!$F$14&lt;'Your debts'!$F$12),AV21,0)+IF(AND('Your debts'!$F$15&lt;&gt;"",'Your debts'!$F$12&lt;&gt;"",'Your debts'!$F$15&lt;'Your debts'!$F$12),BA21,0)))))</f>
        <v/>
      </c>
      <c r="AN21" s="33">
        <f>AL21-AM21</f>
        <v/>
      </c>
      <c r="AO21" s="33">
        <f>IF(AS20&lt;=0,0,ROUND(AS20*(1+'Your debts'!$D$13/1200),2))</f>
        <v/>
      </c>
      <c r="AP21" s="33">
        <f>IF(AO21&lt;=0,0,MIN('Your debts'!$E$13,AO21))</f>
        <v/>
      </c>
      <c r="AQ21" s="33">
        <f>AO21-AP21</f>
        <v/>
      </c>
      <c r="AR21" s="33">
        <f>IF('Your debts'!$F$13="",0,MIN(AQ21,MAX(0,MAX(0,'Your debts'!$C$19-(G21+L21+Q21+V21+AA21+AF21+AK21+AP21+AU21+AZ21))-(IF(AND('Your debts'!$F$6&lt;&gt;"",'Your debts'!$F$13&lt;&gt;"",'Your debts'!$F$6&lt;'Your debts'!$F$13),H21,0)+IF(AND('Your debts'!$F$7&lt;&gt;"",'Your debts'!$F$13&lt;&gt;"",'Your debts'!$F$7&lt;'Your debts'!$F$13),M21,0)+IF(AND('Your debts'!$F$8&lt;&gt;"",'Your debts'!$F$13&lt;&gt;"",'Your debts'!$F$8&lt;'Your debts'!$F$13),R21,0)+IF(AND('Your debts'!$F$9&lt;&gt;"",'Your debts'!$F$13&lt;&gt;"",'Your debts'!$F$9&lt;'Your debts'!$F$13),W21,0)+IF(AND('Your debts'!$F$10&lt;&gt;"",'Your debts'!$F$13&lt;&gt;"",'Your debts'!$F$10&lt;'Your debts'!$F$13),AB21,0)+IF(AND('Your debts'!$F$11&lt;&gt;"",'Your debts'!$F$13&lt;&gt;"",'Your debts'!$F$11&lt;'Your debts'!$F$13),AG21,0)+IF(AND('Your debts'!$F$12&lt;&gt;"",'Your debts'!$F$13&lt;&gt;"",'Your debts'!$F$12&lt;'Your debts'!$F$13),AL21,0)+IF(AND('Your debts'!$F$14&lt;&gt;"",'Your debts'!$F$13&lt;&gt;"",'Your debts'!$F$14&lt;'Your debts'!$F$13),AV21,0)+IF(AND('Your debts'!$F$15&lt;&gt;"",'Your debts'!$F$13&lt;&gt;"",'Your debts'!$F$15&lt;'Your debts'!$F$13),BA21,0)))))</f>
        <v/>
      </c>
      <c r="AS21" s="33">
        <f>AQ21-AR21</f>
        <v/>
      </c>
      <c r="AT21" s="33">
        <f>IF(AX20&lt;=0,0,ROUND(AX20*(1+'Your debts'!$D$14/1200),2))</f>
        <v/>
      </c>
      <c r="AU21" s="33">
        <f>IF(AT21&lt;=0,0,MIN('Your debts'!$E$14,AT21))</f>
        <v/>
      </c>
      <c r="AV21" s="33">
        <f>AT21-AU21</f>
        <v/>
      </c>
      <c r="AW21" s="33">
        <f>IF('Your debts'!$F$14="",0,MIN(AV21,MAX(0,MAX(0,'Your debts'!$C$19-(G21+L21+Q21+V21+AA21+AF21+AK21+AP21+AU21+AZ21))-(IF(AND('Your debts'!$F$6&lt;&gt;"",'Your debts'!$F$14&lt;&gt;"",'Your debts'!$F$6&lt;'Your debts'!$F$14),H21,0)+IF(AND('Your debts'!$F$7&lt;&gt;"",'Your debts'!$F$14&lt;&gt;"",'Your debts'!$F$7&lt;'Your debts'!$F$14),M21,0)+IF(AND('Your debts'!$F$8&lt;&gt;"",'Your debts'!$F$14&lt;&gt;"",'Your debts'!$F$8&lt;'Your debts'!$F$14),R21,0)+IF(AND('Your debts'!$F$9&lt;&gt;"",'Your debts'!$F$14&lt;&gt;"",'Your debts'!$F$9&lt;'Your debts'!$F$14),W21,0)+IF(AND('Your debts'!$F$10&lt;&gt;"",'Your debts'!$F$14&lt;&gt;"",'Your debts'!$F$10&lt;'Your debts'!$F$14),AB21,0)+IF(AND('Your debts'!$F$11&lt;&gt;"",'Your debts'!$F$14&lt;&gt;"",'Your debts'!$F$11&lt;'Your debts'!$F$14),AG21,0)+IF(AND('Your debts'!$F$12&lt;&gt;"",'Your debts'!$F$14&lt;&gt;"",'Your debts'!$F$12&lt;'Your debts'!$F$14),AL21,0)+IF(AND('Your debts'!$F$13&lt;&gt;"",'Your debts'!$F$14&lt;&gt;"",'Your debts'!$F$13&lt;'Your debts'!$F$14),AQ21,0)+IF(AND('Your debts'!$F$15&lt;&gt;"",'Your debts'!$F$14&lt;&gt;"",'Your debts'!$F$15&lt;'Your debts'!$F$14),BA21,0)))))</f>
        <v/>
      </c>
      <c r="AX21" s="33">
        <f>AV21-AW21</f>
        <v/>
      </c>
      <c r="AY21" s="33">
        <f>IF(BC20&lt;=0,0,ROUND(BC20*(1+'Your debts'!$D$15/1200),2))</f>
        <v/>
      </c>
      <c r="AZ21" s="33">
        <f>IF(AY21&lt;=0,0,MIN('Your debts'!$E$15,AY21))</f>
        <v/>
      </c>
      <c r="BA21" s="33">
        <f>AY21-AZ21</f>
        <v/>
      </c>
      <c r="BB21" s="33">
        <f>IF('Your debts'!$F$15="",0,MIN(BA21,MAX(0,MAX(0,'Your debts'!$C$19-(G21+L21+Q21+V21+AA21+AF21+AK21+AP21+AU21+AZ21))-(IF(AND('Your debts'!$F$6&lt;&gt;"",'Your debts'!$F$15&lt;&gt;"",'Your debts'!$F$6&lt;'Your debts'!$F$15),H21,0)+IF(AND('Your debts'!$F$7&lt;&gt;"",'Your debts'!$F$15&lt;&gt;"",'Your debts'!$F$7&lt;'Your debts'!$F$15),M21,0)+IF(AND('Your debts'!$F$8&lt;&gt;"",'Your debts'!$F$15&lt;&gt;"",'Your debts'!$F$8&lt;'Your debts'!$F$15),R21,0)+IF(AND('Your debts'!$F$9&lt;&gt;"",'Your debts'!$F$15&lt;&gt;"",'Your debts'!$F$9&lt;'Your debts'!$F$15),W21,0)+IF(AND('Your debts'!$F$10&lt;&gt;"",'Your debts'!$F$15&lt;&gt;"",'Your debts'!$F$10&lt;'Your debts'!$F$15),AB21,0)+IF(AND('Your debts'!$F$11&lt;&gt;"",'Your debts'!$F$15&lt;&gt;"",'Your debts'!$F$11&lt;'Your debts'!$F$15),AG21,0)+IF(AND('Your debts'!$F$12&lt;&gt;"",'Your debts'!$F$15&lt;&gt;"",'Your debts'!$F$12&lt;'Your debts'!$F$15),AL21,0)+IF(AND('Your debts'!$F$13&lt;&gt;"",'Your debts'!$F$15&lt;&gt;"",'Your debts'!$F$13&lt;'Your debts'!$F$15),AQ21,0)+IF(AND('Your debts'!$F$14&lt;&gt;"",'Your debts'!$F$15&lt;&gt;"",'Your debts'!$F$14&lt;'Your debts'!$F$15),AV21,0)))))</f>
        <v/>
      </c>
      <c r="BC21" s="33">
        <f>BA21-BB21</f>
        <v/>
      </c>
    </row>
    <row r="22">
      <c r="A22" s="30" t="n">
        <v>7</v>
      </c>
      <c r="B22" s="31">
        <f>EDATE($B$15,7)</f>
        <v/>
      </c>
      <c r="C22" s="32">
        <f>IF(J21&lt;=0,0,F22-J21)+IF(O21&lt;=0,0,K22-O21)+IF(T21&lt;=0,0,P22-T21)+IF(Y21&lt;=0,0,U22-Y21)+IF(AD21&lt;=0,0,Z22-AD21)+IF(AI21&lt;=0,0,AE22-AI21)+IF(AN21&lt;=0,0,AJ22-AN21)+IF(AS21&lt;=0,0,AO22-AS21)+IF(AX21&lt;=0,0,AT22-AX21)+IF(BC21&lt;=0,0,AY22-BC21)</f>
        <v/>
      </c>
      <c r="D22" s="32">
        <f>G22+I22+L22+N22+Q22+S22+V22+X22+AA22+AC22+AF22+AH22+AK22+AM22+AP22+AR22+AU22+AW22+AZ22+BB22</f>
        <v/>
      </c>
      <c r="E22" s="32">
        <f>J22+O22+T22+Y22+AD22+AI22+AN22+AS22+AX22+BC22</f>
        <v/>
      </c>
      <c r="F22" s="33">
        <f>IF(J21&lt;=0,0,ROUND(J21*(1+'Your debts'!$D$6/1200),2))</f>
        <v/>
      </c>
      <c r="G22" s="33">
        <f>IF(F22&lt;=0,0,MIN('Your debts'!$E$6,F22))</f>
        <v/>
      </c>
      <c r="H22" s="33">
        <f>F22-G22</f>
        <v/>
      </c>
      <c r="I22" s="33">
        <f>IF('Your debts'!$F$6="",0,MIN(H22,MAX(0,MAX(0,'Your debts'!$C$19-(G22+L22+Q22+V22+AA22+AF22+AK22+AP22+AU22+AZ22))-(IF(AND('Your debts'!$F$7&lt;&gt;"",'Your debts'!$F$6&lt;&gt;"",'Your debts'!$F$7&lt;'Your debts'!$F$6),M22,0)+IF(AND('Your debts'!$F$8&lt;&gt;"",'Your debts'!$F$6&lt;&gt;"",'Your debts'!$F$8&lt;'Your debts'!$F$6),R22,0)+IF(AND('Your debts'!$F$9&lt;&gt;"",'Your debts'!$F$6&lt;&gt;"",'Your debts'!$F$9&lt;'Your debts'!$F$6),W22,0)+IF(AND('Your debts'!$F$10&lt;&gt;"",'Your debts'!$F$6&lt;&gt;"",'Your debts'!$F$10&lt;'Your debts'!$F$6),AB22,0)+IF(AND('Your debts'!$F$11&lt;&gt;"",'Your debts'!$F$6&lt;&gt;"",'Your debts'!$F$11&lt;'Your debts'!$F$6),AG22,0)+IF(AND('Your debts'!$F$12&lt;&gt;"",'Your debts'!$F$6&lt;&gt;"",'Your debts'!$F$12&lt;'Your debts'!$F$6),AL22,0)+IF(AND('Your debts'!$F$13&lt;&gt;"",'Your debts'!$F$6&lt;&gt;"",'Your debts'!$F$13&lt;'Your debts'!$F$6),AQ22,0)+IF(AND('Your debts'!$F$14&lt;&gt;"",'Your debts'!$F$6&lt;&gt;"",'Your debts'!$F$14&lt;'Your debts'!$F$6),AV22,0)+IF(AND('Your debts'!$F$15&lt;&gt;"",'Your debts'!$F$6&lt;&gt;"",'Your debts'!$F$15&lt;'Your debts'!$F$6),BA22,0)))))</f>
        <v/>
      </c>
      <c r="J22" s="33">
        <f>H22-I22</f>
        <v/>
      </c>
      <c r="K22" s="33">
        <f>IF(O21&lt;=0,0,ROUND(O21*(1+'Your debts'!$D$7/1200),2))</f>
        <v/>
      </c>
      <c r="L22" s="33">
        <f>IF(K22&lt;=0,0,MIN('Your debts'!$E$7,K22))</f>
        <v/>
      </c>
      <c r="M22" s="33">
        <f>K22-L22</f>
        <v/>
      </c>
      <c r="N22" s="33">
        <f>IF('Your debts'!$F$7="",0,MIN(M22,MAX(0,MAX(0,'Your debts'!$C$19-(G22+L22+Q22+V22+AA22+AF22+AK22+AP22+AU22+AZ22))-(IF(AND('Your debts'!$F$6&lt;&gt;"",'Your debts'!$F$7&lt;&gt;"",'Your debts'!$F$6&lt;'Your debts'!$F$7),H22,0)+IF(AND('Your debts'!$F$8&lt;&gt;"",'Your debts'!$F$7&lt;&gt;"",'Your debts'!$F$8&lt;'Your debts'!$F$7),R22,0)+IF(AND('Your debts'!$F$9&lt;&gt;"",'Your debts'!$F$7&lt;&gt;"",'Your debts'!$F$9&lt;'Your debts'!$F$7),W22,0)+IF(AND('Your debts'!$F$10&lt;&gt;"",'Your debts'!$F$7&lt;&gt;"",'Your debts'!$F$10&lt;'Your debts'!$F$7),AB22,0)+IF(AND('Your debts'!$F$11&lt;&gt;"",'Your debts'!$F$7&lt;&gt;"",'Your debts'!$F$11&lt;'Your debts'!$F$7),AG22,0)+IF(AND('Your debts'!$F$12&lt;&gt;"",'Your debts'!$F$7&lt;&gt;"",'Your debts'!$F$12&lt;'Your debts'!$F$7),AL22,0)+IF(AND('Your debts'!$F$13&lt;&gt;"",'Your debts'!$F$7&lt;&gt;"",'Your debts'!$F$13&lt;'Your debts'!$F$7),AQ22,0)+IF(AND('Your debts'!$F$14&lt;&gt;"",'Your debts'!$F$7&lt;&gt;"",'Your debts'!$F$14&lt;'Your debts'!$F$7),AV22,0)+IF(AND('Your debts'!$F$15&lt;&gt;"",'Your debts'!$F$7&lt;&gt;"",'Your debts'!$F$15&lt;'Your debts'!$F$7),BA22,0)))))</f>
        <v/>
      </c>
      <c r="O22" s="33">
        <f>M22-N22</f>
        <v/>
      </c>
      <c r="P22" s="33">
        <f>IF(T21&lt;=0,0,ROUND(T21*(1+'Your debts'!$D$8/1200),2))</f>
        <v/>
      </c>
      <c r="Q22" s="33">
        <f>IF(P22&lt;=0,0,MIN('Your debts'!$E$8,P22))</f>
        <v/>
      </c>
      <c r="R22" s="33">
        <f>P22-Q22</f>
        <v/>
      </c>
      <c r="S22" s="33">
        <f>IF('Your debts'!$F$8="",0,MIN(R22,MAX(0,MAX(0,'Your debts'!$C$19-(G22+L22+Q22+V22+AA22+AF22+AK22+AP22+AU22+AZ22))-(IF(AND('Your debts'!$F$6&lt;&gt;"",'Your debts'!$F$8&lt;&gt;"",'Your debts'!$F$6&lt;'Your debts'!$F$8),H22,0)+IF(AND('Your debts'!$F$7&lt;&gt;"",'Your debts'!$F$8&lt;&gt;"",'Your debts'!$F$7&lt;'Your debts'!$F$8),M22,0)+IF(AND('Your debts'!$F$9&lt;&gt;"",'Your debts'!$F$8&lt;&gt;"",'Your debts'!$F$9&lt;'Your debts'!$F$8),W22,0)+IF(AND('Your debts'!$F$10&lt;&gt;"",'Your debts'!$F$8&lt;&gt;"",'Your debts'!$F$10&lt;'Your debts'!$F$8),AB22,0)+IF(AND('Your debts'!$F$11&lt;&gt;"",'Your debts'!$F$8&lt;&gt;"",'Your debts'!$F$11&lt;'Your debts'!$F$8),AG22,0)+IF(AND('Your debts'!$F$12&lt;&gt;"",'Your debts'!$F$8&lt;&gt;"",'Your debts'!$F$12&lt;'Your debts'!$F$8),AL22,0)+IF(AND('Your debts'!$F$13&lt;&gt;"",'Your debts'!$F$8&lt;&gt;"",'Your debts'!$F$13&lt;'Your debts'!$F$8),AQ22,0)+IF(AND('Your debts'!$F$14&lt;&gt;"",'Your debts'!$F$8&lt;&gt;"",'Your debts'!$F$14&lt;'Your debts'!$F$8),AV22,0)+IF(AND('Your debts'!$F$15&lt;&gt;"",'Your debts'!$F$8&lt;&gt;"",'Your debts'!$F$15&lt;'Your debts'!$F$8),BA22,0)))))</f>
        <v/>
      </c>
      <c r="T22" s="33">
        <f>R22-S22</f>
        <v/>
      </c>
      <c r="U22" s="33">
        <f>IF(Y21&lt;=0,0,ROUND(Y21*(1+'Your debts'!$D$9/1200),2))</f>
        <v/>
      </c>
      <c r="V22" s="33">
        <f>IF(U22&lt;=0,0,MIN('Your debts'!$E$9,U22))</f>
        <v/>
      </c>
      <c r="W22" s="33">
        <f>U22-V22</f>
        <v/>
      </c>
      <c r="X22" s="33">
        <f>IF('Your debts'!$F$9="",0,MIN(W22,MAX(0,MAX(0,'Your debts'!$C$19-(G22+L22+Q22+V22+AA22+AF22+AK22+AP22+AU22+AZ22))-(IF(AND('Your debts'!$F$6&lt;&gt;"",'Your debts'!$F$9&lt;&gt;"",'Your debts'!$F$6&lt;'Your debts'!$F$9),H22,0)+IF(AND('Your debts'!$F$7&lt;&gt;"",'Your debts'!$F$9&lt;&gt;"",'Your debts'!$F$7&lt;'Your debts'!$F$9),M22,0)+IF(AND('Your debts'!$F$8&lt;&gt;"",'Your debts'!$F$9&lt;&gt;"",'Your debts'!$F$8&lt;'Your debts'!$F$9),R22,0)+IF(AND('Your debts'!$F$10&lt;&gt;"",'Your debts'!$F$9&lt;&gt;"",'Your debts'!$F$10&lt;'Your debts'!$F$9),AB22,0)+IF(AND('Your debts'!$F$11&lt;&gt;"",'Your debts'!$F$9&lt;&gt;"",'Your debts'!$F$11&lt;'Your debts'!$F$9),AG22,0)+IF(AND('Your debts'!$F$12&lt;&gt;"",'Your debts'!$F$9&lt;&gt;"",'Your debts'!$F$12&lt;'Your debts'!$F$9),AL22,0)+IF(AND('Your debts'!$F$13&lt;&gt;"",'Your debts'!$F$9&lt;&gt;"",'Your debts'!$F$13&lt;'Your debts'!$F$9),AQ22,0)+IF(AND('Your debts'!$F$14&lt;&gt;"",'Your debts'!$F$9&lt;&gt;"",'Your debts'!$F$14&lt;'Your debts'!$F$9),AV22,0)+IF(AND('Your debts'!$F$15&lt;&gt;"",'Your debts'!$F$9&lt;&gt;"",'Your debts'!$F$15&lt;'Your debts'!$F$9),BA22,0)))))</f>
        <v/>
      </c>
      <c r="Y22" s="33">
        <f>W22-X22</f>
        <v/>
      </c>
      <c r="Z22" s="33">
        <f>IF(AD21&lt;=0,0,ROUND(AD21*(1+'Your debts'!$D$10/1200),2))</f>
        <v/>
      </c>
      <c r="AA22" s="33">
        <f>IF(Z22&lt;=0,0,MIN('Your debts'!$E$10,Z22))</f>
        <v/>
      </c>
      <c r="AB22" s="33">
        <f>Z22-AA22</f>
        <v/>
      </c>
      <c r="AC22" s="33">
        <f>IF('Your debts'!$F$10="",0,MIN(AB22,MAX(0,MAX(0,'Your debts'!$C$19-(G22+L22+Q22+V22+AA22+AF22+AK22+AP22+AU22+AZ22))-(IF(AND('Your debts'!$F$6&lt;&gt;"",'Your debts'!$F$10&lt;&gt;"",'Your debts'!$F$6&lt;'Your debts'!$F$10),H22,0)+IF(AND('Your debts'!$F$7&lt;&gt;"",'Your debts'!$F$10&lt;&gt;"",'Your debts'!$F$7&lt;'Your debts'!$F$10),M22,0)+IF(AND('Your debts'!$F$8&lt;&gt;"",'Your debts'!$F$10&lt;&gt;"",'Your debts'!$F$8&lt;'Your debts'!$F$10),R22,0)+IF(AND('Your debts'!$F$9&lt;&gt;"",'Your debts'!$F$10&lt;&gt;"",'Your debts'!$F$9&lt;'Your debts'!$F$10),W22,0)+IF(AND('Your debts'!$F$11&lt;&gt;"",'Your debts'!$F$10&lt;&gt;"",'Your debts'!$F$11&lt;'Your debts'!$F$10),AG22,0)+IF(AND('Your debts'!$F$12&lt;&gt;"",'Your debts'!$F$10&lt;&gt;"",'Your debts'!$F$12&lt;'Your debts'!$F$10),AL22,0)+IF(AND('Your debts'!$F$13&lt;&gt;"",'Your debts'!$F$10&lt;&gt;"",'Your debts'!$F$13&lt;'Your debts'!$F$10),AQ22,0)+IF(AND('Your debts'!$F$14&lt;&gt;"",'Your debts'!$F$10&lt;&gt;"",'Your debts'!$F$14&lt;'Your debts'!$F$10),AV22,0)+IF(AND('Your debts'!$F$15&lt;&gt;"",'Your debts'!$F$10&lt;&gt;"",'Your debts'!$F$15&lt;'Your debts'!$F$10),BA22,0)))))</f>
        <v/>
      </c>
      <c r="AD22" s="33">
        <f>AB22-AC22</f>
        <v/>
      </c>
      <c r="AE22" s="33">
        <f>IF(AI21&lt;=0,0,ROUND(AI21*(1+'Your debts'!$D$11/1200),2))</f>
        <v/>
      </c>
      <c r="AF22" s="33">
        <f>IF(AE22&lt;=0,0,MIN('Your debts'!$E$11,AE22))</f>
        <v/>
      </c>
      <c r="AG22" s="33">
        <f>AE22-AF22</f>
        <v/>
      </c>
      <c r="AH22" s="33">
        <f>IF('Your debts'!$F$11="",0,MIN(AG22,MAX(0,MAX(0,'Your debts'!$C$19-(G22+L22+Q22+V22+AA22+AF22+AK22+AP22+AU22+AZ22))-(IF(AND('Your debts'!$F$6&lt;&gt;"",'Your debts'!$F$11&lt;&gt;"",'Your debts'!$F$6&lt;'Your debts'!$F$11),H22,0)+IF(AND('Your debts'!$F$7&lt;&gt;"",'Your debts'!$F$11&lt;&gt;"",'Your debts'!$F$7&lt;'Your debts'!$F$11),M22,0)+IF(AND('Your debts'!$F$8&lt;&gt;"",'Your debts'!$F$11&lt;&gt;"",'Your debts'!$F$8&lt;'Your debts'!$F$11),R22,0)+IF(AND('Your debts'!$F$9&lt;&gt;"",'Your debts'!$F$11&lt;&gt;"",'Your debts'!$F$9&lt;'Your debts'!$F$11),W22,0)+IF(AND('Your debts'!$F$10&lt;&gt;"",'Your debts'!$F$11&lt;&gt;"",'Your debts'!$F$10&lt;'Your debts'!$F$11),AB22,0)+IF(AND('Your debts'!$F$12&lt;&gt;"",'Your debts'!$F$11&lt;&gt;"",'Your debts'!$F$12&lt;'Your debts'!$F$11),AL22,0)+IF(AND('Your debts'!$F$13&lt;&gt;"",'Your debts'!$F$11&lt;&gt;"",'Your debts'!$F$13&lt;'Your debts'!$F$11),AQ22,0)+IF(AND('Your debts'!$F$14&lt;&gt;"",'Your debts'!$F$11&lt;&gt;"",'Your debts'!$F$14&lt;'Your debts'!$F$11),AV22,0)+IF(AND('Your debts'!$F$15&lt;&gt;"",'Your debts'!$F$11&lt;&gt;"",'Your debts'!$F$15&lt;'Your debts'!$F$11),BA22,0)))))</f>
        <v/>
      </c>
      <c r="AI22" s="33">
        <f>AG22-AH22</f>
        <v/>
      </c>
      <c r="AJ22" s="33">
        <f>IF(AN21&lt;=0,0,ROUND(AN21*(1+'Your debts'!$D$12/1200),2))</f>
        <v/>
      </c>
      <c r="AK22" s="33">
        <f>IF(AJ22&lt;=0,0,MIN('Your debts'!$E$12,AJ22))</f>
        <v/>
      </c>
      <c r="AL22" s="33">
        <f>AJ22-AK22</f>
        <v/>
      </c>
      <c r="AM22" s="33">
        <f>IF('Your debts'!$F$12="",0,MIN(AL22,MAX(0,MAX(0,'Your debts'!$C$19-(G22+L22+Q22+V22+AA22+AF22+AK22+AP22+AU22+AZ22))-(IF(AND('Your debts'!$F$6&lt;&gt;"",'Your debts'!$F$12&lt;&gt;"",'Your debts'!$F$6&lt;'Your debts'!$F$12),H22,0)+IF(AND('Your debts'!$F$7&lt;&gt;"",'Your debts'!$F$12&lt;&gt;"",'Your debts'!$F$7&lt;'Your debts'!$F$12),M22,0)+IF(AND('Your debts'!$F$8&lt;&gt;"",'Your debts'!$F$12&lt;&gt;"",'Your debts'!$F$8&lt;'Your debts'!$F$12),R22,0)+IF(AND('Your debts'!$F$9&lt;&gt;"",'Your debts'!$F$12&lt;&gt;"",'Your debts'!$F$9&lt;'Your debts'!$F$12),W22,0)+IF(AND('Your debts'!$F$10&lt;&gt;"",'Your debts'!$F$12&lt;&gt;"",'Your debts'!$F$10&lt;'Your debts'!$F$12),AB22,0)+IF(AND('Your debts'!$F$11&lt;&gt;"",'Your debts'!$F$12&lt;&gt;"",'Your debts'!$F$11&lt;'Your debts'!$F$12),AG22,0)+IF(AND('Your debts'!$F$13&lt;&gt;"",'Your debts'!$F$12&lt;&gt;"",'Your debts'!$F$13&lt;'Your debts'!$F$12),AQ22,0)+IF(AND('Your debts'!$F$14&lt;&gt;"",'Your debts'!$F$12&lt;&gt;"",'Your debts'!$F$14&lt;'Your debts'!$F$12),AV22,0)+IF(AND('Your debts'!$F$15&lt;&gt;"",'Your debts'!$F$12&lt;&gt;"",'Your debts'!$F$15&lt;'Your debts'!$F$12),BA22,0)))))</f>
        <v/>
      </c>
      <c r="AN22" s="33">
        <f>AL22-AM22</f>
        <v/>
      </c>
      <c r="AO22" s="33">
        <f>IF(AS21&lt;=0,0,ROUND(AS21*(1+'Your debts'!$D$13/1200),2))</f>
        <v/>
      </c>
      <c r="AP22" s="33">
        <f>IF(AO22&lt;=0,0,MIN('Your debts'!$E$13,AO22))</f>
        <v/>
      </c>
      <c r="AQ22" s="33">
        <f>AO22-AP22</f>
        <v/>
      </c>
      <c r="AR22" s="33">
        <f>IF('Your debts'!$F$13="",0,MIN(AQ22,MAX(0,MAX(0,'Your debts'!$C$19-(G22+L22+Q22+V22+AA22+AF22+AK22+AP22+AU22+AZ22))-(IF(AND('Your debts'!$F$6&lt;&gt;"",'Your debts'!$F$13&lt;&gt;"",'Your debts'!$F$6&lt;'Your debts'!$F$13),H22,0)+IF(AND('Your debts'!$F$7&lt;&gt;"",'Your debts'!$F$13&lt;&gt;"",'Your debts'!$F$7&lt;'Your debts'!$F$13),M22,0)+IF(AND('Your debts'!$F$8&lt;&gt;"",'Your debts'!$F$13&lt;&gt;"",'Your debts'!$F$8&lt;'Your debts'!$F$13),R22,0)+IF(AND('Your debts'!$F$9&lt;&gt;"",'Your debts'!$F$13&lt;&gt;"",'Your debts'!$F$9&lt;'Your debts'!$F$13),W22,0)+IF(AND('Your debts'!$F$10&lt;&gt;"",'Your debts'!$F$13&lt;&gt;"",'Your debts'!$F$10&lt;'Your debts'!$F$13),AB22,0)+IF(AND('Your debts'!$F$11&lt;&gt;"",'Your debts'!$F$13&lt;&gt;"",'Your debts'!$F$11&lt;'Your debts'!$F$13),AG22,0)+IF(AND('Your debts'!$F$12&lt;&gt;"",'Your debts'!$F$13&lt;&gt;"",'Your debts'!$F$12&lt;'Your debts'!$F$13),AL22,0)+IF(AND('Your debts'!$F$14&lt;&gt;"",'Your debts'!$F$13&lt;&gt;"",'Your debts'!$F$14&lt;'Your debts'!$F$13),AV22,0)+IF(AND('Your debts'!$F$15&lt;&gt;"",'Your debts'!$F$13&lt;&gt;"",'Your debts'!$F$15&lt;'Your debts'!$F$13),BA22,0)))))</f>
        <v/>
      </c>
      <c r="AS22" s="33">
        <f>AQ22-AR22</f>
        <v/>
      </c>
      <c r="AT22" s="33">
        <f>IF(AX21&lt;=0,0,ROUND(AX21*(1+'Your debts'!$D$14/1200),2))</f>
        <v/>
      </c>
      <c r="AU22" s="33">
        <f>IF(AT22&lt;=0,0,MIN('Your debts'!$E$14,AT22))</f>
        <v/>
      </c>
      <c r="AV22" s="33">
        <f>AT22-AU22</f>
        <v/>
      </c>
      <c r="AW22" s="33">
        <f>IF('Your debts'!$F$14="",0,MIN(AV22,MAX(0,MAX(0,'Your debts'!$C$19-(G22+L22+Q22+V22+AA22+AF22+AK22+AP22+AU22+AZ22))-(IF(AND('Your debts'!$F$6&lt;&gt;"",'Your debts'!$F$14&lt;&gt;"",'Your debts'!$F$6&lt;'Your debts'!$F$14),H22,0)+IF(AND('Your debts'!$F$7&lt;&gt;"",'Your debts'!$F$14&lt;&gt;"",'Your debts'!$F$7&lt;'Your debts'!$F$14),M22,0)+IF(AND('Your debts'!$F$8&lt;&gt;"",'Your debts'!$F$14&lt;&gt;"",'Your debts'!$F$8&lt;'Your debts'!$F$14),R22,0)+IF(AND('Your debts'!$F$9&lt;&gt;"",'Your debts'!$F$14&lt;&gt;"",'Your debts'!$F$9&lt;'Your debts'!$F$14),W22,0)+IF(AND('Your debts'!$F$10&lt;&gt;"",'Your debts'!$F$14&lt;&gt;"",'Your debts'!$F$10&lt;'Your debts'!$F$14),AB22,0)+IF(AND('Your debts'!$F$11&lt;&gt;"",'Your debts'!$F$14&lt;&gt;"",'Your debts'!$F$11&lt;'Your debts'!$F$14),AG22,0)+IF(AND('Your debts'!$F$12&lt;&gt;"",'Your debts'!$F$14&lt;&gt;"",'Your debts'!$F$12&lt;'Your debts'!$F$14),AL22,0)+IF(AND('Your debts'!$F$13&lt;&gt;"",'Your debts'!$F$14&lt;&gt;"",'Your debts'!$F$13&lt;'Your debts'!$F$14),AQ22,0)+IF(AND('Your debts'!$F$15&lt;&gt;"",'Your debts'!$F$14&lt;&gt;"",'Your debts'!$F$15&lt;'Your debts'!$F$14),BA22,0)))))</f>
        <v/>
      </c>
      <c r="AX22" s="33">
        <f>AV22-AW22</f>
        <v/>
      </c>
      <c r="AY22" s="33">
        <f>IF(BC21&lt;=0,0,ROUND(BC21*(1+'Your debts'!$D$15/1200),2))</f>
        <v/>
      </c>
      <c r="AZ22" s="33">
        <f>IF(AY22&lt;=0,0,MIN('Your debts'!$E$15,AY22))</f>
        <v/>
      </c>
      <c r="BA22" s="33">
        <f>AY22-AZ22</f>
        <v/>
      </c>
      <c r="BB22" s="33">
        <f>IF('Your debts'!$F$15="",0,MIN(BA22,MAX(0,MAX(0,'Your debts'!$C$19-(G22+L22+Q22+V22+AA22+AF22+AK22+AP22+AU22+AZ22))-(IF(AND('Your debts'!$F$6&lt;&gt;"",'Your debts'!$F$15&lt;&gt;"",'Your debts'!$F$6&lt;'Your debts'!$F$15),H22,0)+IF(AND('Your debts'!$F$7&lt;&gt;"",'Your debts'!$F$15&lt;&gt;"",'Your debts'!$F$7&lt;'Your debts'!$F$15),M22,0)+IF(AND('Your debts'!$F$8&lt;&gt;"",'Your debts'!$F$15&lt;&gt;"",'Your debts'!$F$8&lt;'Your debts'!$F$15),R22,0)+IF(AND('Your debts'!$F$9&lt;&gt;"",'Your debts'!$F$15&lt;&gt;"",'Your debts'!$F$9&lt;'Your debts'!$F$15),W22,0)+IF(AND('Your debts'!$F$10&lt;&gt;"",'Your debts'!$F$15&lt;&gt;"",'Your debts'!$F$10&lt;'Your debts'!$F$15),AB22,0)+IF(AND('Your debts'!$F$11&lt;&gt;"",'Your debts'!$F$15&lt;&gt;"",'Your debts'!$F$11&lt;'Your debts'!$F$15),AG22,0)+IF(AND('Your debts'!$F$12&lt;&gt;"",'Your debts'!$F$15&lt;&gt;"",'Your debts'!$F$12&lt;'Your debts'!$F$15),AL22,0)+IF(AND('Your debts'!$F$13&lt;&gt;"",'Your debts'!$F$15&lt;&gt;"",'Your debts'!$F$13&lt;'Your debts'!$F$15),AQ22,0)+IF(AND('Your debts'!$F$14&lt;&gt;"",'Your debts'!$F$15&lt;&gt;"",'Your debts'!$F$14&lt;'Your debts'!$F$15),AV22,0)))))</f>
        <v/>
      </c>
      <c r="BC22" s="33">
        <f>BA22-BB22</f>
        <v/>
      </c>
    </row>
    <row r="23">
      <c r="A23" s="30" t="n">
        <v>8</v>
      </c>
      <c r="B23" s="31">
        <f>EDATE($B$15,8)</f>
        <v/>
      </c>
      <c r="C23" s="32">
        <f>IF(J22&lt;=0,0,F23-J22)+IF(O22&lt;=0,0,K23-O22)+IF(T22&lt;=0,0,P23-T22)+IF(Y22&lt;=0,0,U23-Y22)+IF(AD22&lt;=0,0,Z23-AD22)+IF(AI22&lt;=0,0,AE23-AI22)+IF(AN22&lt;=0,0,AJ23-AN22)+IF(AS22&lt;=0,0,AO23-AS22)+IF(AX22&lt;=0,0,AT23-AX22)+IF(BC22&lt;=0,0,AY23-BC22)</f>
        <v/>
      </c>
      <c r="D23" s="32">
        <f>G23+I23+L23+N23+Q23+S23+V23+X23+AA23+AC23+AF23+AH23+AK23+AM23+AP23+AR23+AU23+AW23+AZ23+BB23</f>
        <v/>
      </c>
      <c r="E23" s="32">
        <f>J23+O23+T23+Y23+AD23+AI23+AN23+AS23+AX23+BC23</f>
        <v/>
      </c>
      <c r="F23" s="33">
        <f>IF(J22&lt;=0,0,ROUND(J22*(1+'Your debts'!$D$6/1200),2))</f>
        <v/>
      </c>
      <c r="G23" s="33">
        <f>IF(F23&lt;=0,0,MIN('Your debts'!$E$6,F23))</f>
        <v/>
      </c>
      <c r="H23" s="33">
        <f>F23-G23</f>
        <v/>
      </c>
      <c r="I23" s="33">
        <f>IF('Your debts'!$F$6="",0,MIN(H23,MAX(0,MAX(0,'Your debts'!$C$19-(G23+L23+Q23+V23+AA23+AF23+AK23+AP23+AU23+AZ23))-(IF(AND('Your debts'!$F$7&lt;&gt;"",'Your debts'!$F$6&lt;&gt;"",'Your debts'!$F$7&lt;'Your debts'!$F$6),M23,0)+IF(AND('Your debts'!$F$8&lt;&gt;"",'Your debts'!$F$6&lt;&gt;"",'Your debts'!$F$8&lt;'Your debts'!$F$6),R23,0)+IF(AND('Your debts'!$F$9&lt;&gt;"",'Your debts'!$F$6&lt;&gt;"",'Your debts'!$F$9&lt;'Your debts'!$F$6),W23,0)+IF(AND('Your debts'!$F$10&lt;&gt;"",'Your debts'!$F$6&lt;&gt;"",'Your debts'!$F$10&lt;'Your debts'!$F$6),AB23,0)+IF(AND('Your debts'!$F$11&lt;&gt;"",'Your debts'!$F$6&lt;&gt;"",'Your debts'!$F$11&lt;'Your debts'!$F$6),AG23,0)+IF(AND('Your debts'!$F$12&lt;&gt;"",'Your debts'!$F$6&lt;&gt;"",'Your debts'!$F$12&lt;'Your debts'!$F$6),AL23,0)+IF(AND('Your debts'!$F$13&lt;&gt;"",'Your debts'!$F$6&lt;&gt;"",'Your debts'!$F$13&lt;'Your debts'!$F$6),AQ23,0)+IF(AND('Your debts'!$F$14&lt;&gt;"",'Your debts'!$F$6&lt;&gt;"",'Your debts'!$F$14&lt;'Your debts'!$F$6),AV23,0)+IF(AND('Your debts'!$F$15&lt;&gt;"",'Your debts'!$F$6&lt;&gt;"",'Your debts'!$F$15&lt;'Your debts'!$F$6),BA23,0)))))</f>
        <v/>
      </c>
      <c r="J23" s="33">
        <f>H23-I23</f>
        <v/>
      </c>
      <c r="K23" s="33">
        <f>IF(O22&lt;=0,0,ROUND(O22*(1+'Your debts'!$D$7/1200),2))</f>
        <v/>
      </c>
      <c r="L23" s="33">
        <f>IF(K23&lt;=0,0,MIN('Your debts'!$E$7,K23))</f>
        <v/>
      </c>
      <c r="M23" s="33">
        <f>K23-L23</f>
        <v/>
      </c>
      <c r="N23" s="33">
        <f>IF('Your debts'!$F$7="",0,MIN(M23,MAX(0,MAX(0,'Your debts'!$C$19-(G23+L23+Q23+V23+AA23+AF23+AK23+AP23+AU23+AZ23))-(IF(AND('Your debts'!$F$6&lt;&gt;"",'Your debts'!$F$7&lt;&gt;"",'Your debts'!$F$6&lt;'Your debts'!$F$7),H23,0)+IF(AND('Your debts'!$F$8&lt;&gt;"",'Your debts'!$F$7&lt;&gt;"",'Your debts'!$F$8&lt;'Your debts'!$F$7),R23,0)+IF(AND('Your debts'!$F$9&lt;&gt;"",'Your debts'!$F$7&lt;&gt;"",'Your debts'!$F$9&lt;'Your debts'!$F$7),W23,0)+IF(AND('Your debts'!$F$10&lt;&gt;"",'Your debts'!$F$7&lt;&gt;"",'Your debts'!$F$10&lt;'Your debts'!$F$7),AB23,0)+IF(AND('Your debts'!$F$11&lt;&gt;"",'Your debts'!$F$7&lt;&gt;"",'Your debts'!$F$11&lt;'Your debts'!$F$7),AG23,0)+IF(AND('Your debts'!$F$12&lt;&gt;"",'Your debts'!$F$7&lt;&gt;"",'Your debts'!$F$12&lt;'Your debts'!$F$7),AL23,0)+IF(AND('Your debts'!$F$13&lt;&gt;"",'Your debts'!$F$7&lt;&gt;"",'Your debts'!$F$13&lt;'Your debts'!$F$7),AQ23,0)+IF(AND('Your debts'!$F$14&lt;&gt;"",'Your debts'!$F$7&lt;&gt;"",'Your debts'!$F$14&lt;'Your debts'!$F$7),AV23,0)+IF(AND('Your debts'!$F$15&lt;&gt;"",'Your debts'!$F$7&lt;&gt;"",'Your debts'!$F$15&lt;'Your debts'!$F$7),BA23,0)))))</f>
        <v/>
      </c>
      <c r="O23" s="33">
        <f>M23-N23</f>
        <v/>
      </c>
      <c r="P23" s="33">
        <f>IF(T22&lt;=0,0,ROUND(T22*(1+'Your debts'!$D$8/1200),2))</f>
        <v/>
      </c>
      <c r="Q23" s="33">
        <f>IF(P23&lt;=0,0,MIN('Your debts'!$E$8,P23))</f>
        <v/>
      </c>
      <c r="R23" s="33">
        <f>P23-Q23</f>
        <v/>
      </c>
      <c r="S23" s="33">
        <f>IF('Your debts'!$F$8="",0,MIN(R23,MAX(0,MAX(0,'Your debts'!$C$19-(G23+L23+Q23+V23+AA23+AF23+AK23+AP23+AU23+AZ23))-(IF(AND('Your debts'!$F$6&lt;&gt;"",'Your debts'!$F$8&lt;&gt;"",'Your debts'!$F$6&lt;'Your debts'!$F$8),H23,0)+IF(AND('Your debts'!$F$7&lt;&gt;"",'Your debts'!$F$8&lt;&gt;"",'Your debts'!$F$7&lt;'Your debts'!$F$8),M23,0)+IF(AND('Your debts'!$F$9&lt;&gt;"",'Your debts'!$F$8&lt;&gt;"",'Your debts'!$F$9&lt;'Your debts'!$F$8),W23,0)+IF(AND('Your debts'!$F$10&lt;&gt;"",'Your debts'!$F$8&lt;&gt;"",'Your debts'!$F$10&lt;'Your debts'!$F$8),AB23,0)+IF(AND('Your debts'!$F$11&lt;&gt;"",'Your debts'!$F$8&lt;&gt;"",'Your debts'!$F$11&lt;'Your debts'!$F$8),AG23,0)+IF(AND('Your debts'!$F$12&lt;&gt;"",'Your debts'!$F$8&lt;&gt;"",'Your debts'!$F$12&lt;'Your debts'!$F$8),AL23,0)+IF(AND('Your debts'!$F$13&lt;&gt;"",'Your debts'!$F$8&lt;&gt;"",'Your debts'!$F$13&lt;'Your debts'!$F$8),AQ23,0)+IF(AND('Your debts'!$F$14&lt;&gt;"",'Your debts'!$F$8&lt;&gt;"",'Your debts'!$F$14&lt;'Your debts'!$F$8),AV23,0)+IF(AND('Your debts'!$F$15&lt;&gt;"",'Your debts'!$F$8&lt;&gt;"",'Your debts'!$F$15&lt;'Your debts'!$F$8),BA23,0)))))</f>
        <v/>
      </c>
      <c r="T23" s="33">
        <f>R23-S23</f>
        <v/>
      </c>
      <c r="U23" s="33">
        <f>IF(Y22&lt;=0,0,ROUND(Y22*(1+'Your debts'!$D$9/1200),2))</f>
        <v/>
      </c>
      <c r="V23" s="33">
        <f>IF(U23&lt;=0,0,MIN('Your debts'!$E$9,U23))</f>
        <v/>
      </c>
      <c r="W23" s="33">
        <f>U23-V23</f>
        <v/>
      </c>
      <c r="X23" s="33">
        <f>IF('Your debts'!$F$9="",0,MIN(W23,MAX(0,MAX(0,'Your debts'!$C$19-(G23+L23+Q23+V23+AA23+AF23+AK23+AP23+AU23+AZ23))-(IF(AND('Your debts'!$F$6&lt;&gt;"",'Your debts'!$F$9&lt;&gt;"",'Your debts'!$F$6&lt;'Your debts'!$F$9),H23,0)+IF(AND('Your debts'!$F$7&lt;&gt;"",'Your debts'!$F$9&lt;&gt;"",'Your debts'!$F$7&lt;'Your debts'!$F$9),M23,0)+IF(AND('Your debts'!$F$8&lt;&gt;"",'Your debts'!$F$9&lt;&gt;"",'Your debts'!$F$8&lt;'Your debts'!$F$9),R23,0)+IF(AND('Your debts'!$F$10&lt;&gt;"",'Your debts'!$F$9&lt;&gt;"",'Your debts'!$F$10&lt;'Your debts'!$F$9),AB23,0)+IF(AND('Your debts'!$F$11&lt;&gt;"",'Your debts'!$F$9&lt;&gt;"",'Your debts'!$F$11&lt;'Your debts'!$F$9),AG23,0)+IF(AND('Your debts'!$F$12&lt;&gt;"",'Your debts'!$F$9&lt;&gt;"",'Your debts'!$F$12&lt;'Your debts'!$F$9),AL23,0)+IF(AND('Your debts'!$F$13&lt;&gt;"",'Your debts'!$F$9&lt;&gt;"",'Your debts'!$F$13&lt;'Your debts'!$F$9),AQ23,0)+IF(AND('Your debts'!$F$14&lt;&gt;"",'Your debts'!$F$9&lt;&gt;"",'Your debts'!$F$14&lt;'Your debts'!$F$9),AV23,0)+IF(AND('Your debts'!$F$15&lt;&gt;"",'Your debts'!$F$9&lt;&gt;"",'Your debts'!$F$15&lt;'Your debts'!$F$9),BA23,0)))))</f>
        <v/>
      </c>
      <c r="Y23" s="33">
        <f>W23-X23</f>
        <v/>
      </c>
      <c r="Z23" s="33">
        <f>IF(AD22&lt;=0,0,ROUND(AD22*(1+'Your debts'!$D$10/1200),2))</f>
        <v/>
      </c>
      <c r="AA23" s="33">
        <f>IF(Z23&lt;=0,0,MIN('Your debts'!$E$10,Z23))</f>
        <v/>
      </c>
      <c r="AB23" s="33">
        <f>Z23-AA23</f>
        <v/>
      </c>
      <c r="AC23" s="33">
        <f>IF('Your debts'!$F$10="",0,MIN(AB23,MAX(0,MAX(0,'Your debts'!$C$19-(G23+L23+Q23+V23+AA23+AF23+AK23+AP23+AU23+AZ23))-(IF(AND('Your debts'!$F$6&lt;&gt;"",'Your debts'!$F$10&lt;&gt;"",'Your debts'!$F$6&lt;'Your debts'!$F$10),H23,0)+IF(AND('Your debts'!$F$7&lt;&gt;"",'Your debts'!$F$10&lt;&gt;"",'Your debts'!$F$7&lt;'Your debts'!$F$10),M23,0)+IF(AND('Your debts'!$F$8&lt;&gt;"",'Your debts'!$F$10&lt;&gt;"",'Your debts'!$F$8&lt;'Your debts'!$F$10),R23,0)+IF(AND('Your debts'!$F$9&lt;&gt;"",'Your debts'!$F$10&lt;&gt;"",'Your debts'!$F$9&lt;'Your debts'!$F$10),W23,0)+IF(AND('Your debts'!$F$11&lt;&gt;"",'Your debts'!$F$10&lt;&gt;"",'Your debts'!$F$11&lt;'Your debts'!$F$10),AG23,0)+IF(AND('Your debts'!$F$12&lt;&gt;"",'Your debts'!$F$10&lt;&gt;"",'Your debts'!$F$12&lt;'Your debts'!$F$10),AL23,0)+IF(AND('Your debts'!$F$13&lt;&gt;"",'Your debts'!$F$10&lt;&gt;"",'Your debts'!$F$13&lt;'Your debts'!$F$10),AQ23,0)+IF(AND('Your debts'!$F$14&lt;&gt;"",'Your debts'!$F$10&lt;&gt;"",'Your debts'!$F$14&lt;'Your debts'!$F$10),AV23,0)+IF(AND('Your debts'!$F$15&lt;&gt;"",'Your debts'!$F$10&lt;&gt;"",'Your debts'!$F$15&lt;'Your debts'!$F$10),BA23,0)))))</f>
        <v/>
      </c>
      <c r="AD23" s="33">
        <f>AB23-AC23</f>
        <v/>
      </c>
      <c r="AE23" s="33">
        <f>IF(AI22&lt;=0,0,ROUND(AI22*(1+'Your debts'!$D$11/1200),2))</f>
        <v/>
      </c>
      <c r="AF23" s="33">
        <f>IF(AE23&lt;=0,0,MIN('Your debts'!$E$11,AE23))</f>
        <v/>
      </c>
      <c r="AG23" s="33">
        <f>AE23-AF23</f>
        <v/>
      </c>
      <c r="AH23" s="33">
        <f>IF('Your debts'!$F$11="",0,MIN(AG23,MAX(0,MAX(0,'Your debts'!$C$19-(G23+L23+Q23+V23+AA23+AF23+AK23+AP23+AU23+AZ23))-(IF(AND('Your debts'!$F$6&lt;&gt;"",'Your debts'!$F$11&lt;&gt;"",'Your debts'!$F$6&lt;'Your debts'!$F$11),H23,0)+IF(AND('Your debts'!$F$7&lt;&gt;"",'Your debts'!$F$11&lt;&gt;"",'Your debts'!$F$7&lt;'Your debts'!$F$11),M23,0)+IF(AND('Your debts'!$F$8&lt;&gt;"",'Your debts'!$F$11&lt;&gt;"",'Your debts'!$F$8&lt;'Your debts'!$F$11),R23,0)+IF(AND('Your debts'!$F$9&lt;&gt;"",'Your debts'!$F$11&lt;&gt;"",'Your debts'!$F$9&lt;'Your debts'!$F$11),W23,0)+IF(AND('Your debts'!$F$10&lt;&gt;"",'Your debts'!$F$11&lt;&gt;"",'Your debts'!$F$10&lt;'Your debts'!$F$11),AB23,0)+IF(AND('Your debts'!$F$12&lt;&gt;"",'Your debts'!$F$11&lt;&gt;"",'Your debts'!$F$12&lt;'Your debts'!$F$11),AL23,0)+IF(AND('Your debts'!$F$13&lt;&gt;"",'Your debts'!$F$11&lt;&gt;"",'Your debts'!$F$13&lt;'Your debts'!$F$11),AQ23,0)+IF(AND('Your debts'!$F$14&lt;&gt;"",'Your debts'!$F$11&lt;&gt;"",'Your debts'!$F$14&lt;'Your debts'!$F$11),AV23,0)+IF(AND('Your debts'!$F$15&lt;&gt;"",'Your debts'!$F$11&lt;&gt;"",'Your debts'!$F$15&lt;'Your debts'!$F$11),BA23,0)))))</f>
        <v/>
      </c>
      <c r="AI23" s="33">
        <f>AG23-AH23</f>
        <v/>
      </c>
      <c r="AJ23" s="33">
        <f>IF(AN22&lt;=0,0,ROUND(AN22*(1+'Your debts'!$D$12/1200),2))</f>
        <v/>
      </c>
      <c r="AK23" s="33">
        <f>IF(AJ23&lt;=0,0,MIN('Your debts'!$E$12,AJ23))</f>
        <v/>
      </c>
      <c r="AL23" s="33">
        <f>AJ23-AK23</f>
        <v/>
      </c>
      <c r="AM23" s="33">
        <f>IF('Your debts'!$F$12="",0,MIN(AL23,MAX(0,MAX(0,'Your debts'!$C$19-(G23+L23+Q23+V23+AA23+AF23+AK23+AP23+AU23+AZ23))-(IF(AND('Your debts'!$F$6&lt;&gt;"",'Your debts'!$F$12&lt;&gt;"",'Your debts'!$F$6&lt;'Your debts'!$F$12),H23,0)+IF(AND('Your debts'!$F$7&lt;&gt;"",'Your debts'!$F$12&lt;&gt;"",'Your debts'!$F$7&lt;'Your debts'!$F$12),M23,0)+IF(AND('Your debts'!$F$8&lt;&gt;"",'Your debts'!$F$12&lt;&gt;"",'Your debts'!$F$8&lt;'Your debts'!$F$12),R23,0)+IF(AND('Your debts'!$F$9&lt;&gt;"",'Your debts'!$F$12&lt;&gt;"",'Your debts'!$F$9&lt;'Your debts'!$F$12),W23,0)+IF(AND('Your debts'!$F$10&lt;&gt;"",'Your debts'!$F$12&lt;&gt;"",'Your debts'!$F$10&lt;'Your debts'!$F$12),AB23,0)+IF(AND('Your debts'!$F$11&lt;&gt;"",'Your debts'!$F$12&lt;&gt;"",'Your debts'!$F$11&lt;'Your debts'!$F$12),AG23,0)+IF(AND('Your debts'!$F$13&lt;&gt;"",'Your debts'!$F$12&lt;&gt;"",'Your debts'!$F$13&lt;'Your debts'!$F$12),AQ23,0)+IF(AND('Your debts'!$F$14&lt;&gt;"",'Your debts'!$F$12&lt;&gt;"",'Your debts'!$F$14&lt;'Your debts'!$F$12),AV23,0)+IF(AND('Your debts'!$F$15&lt;&gt;"",'Your debts'!$F$12&lt;&gt;"",'Your debts'!$F$15&lt;'Your debts'!$F$12),BA23,0)))))</f>
        <v/>
      </c>
      <c r="AN23" s="33">
        <f>AL23-AM23</f>
        <v/>
      </c>
      <c r="AO23" s="33">
        <f>IF(AS22&lt;=0,0,ROUND(AS22*(1+'Your debts'!$D$13/1200),2))</f>
        <v/>
      </c>
      <c r="AP23" s="33">
        <f>IF(AO23&lt;=0,0,MIN('Your debts'!$E$13,AO23))</f>
        <v/>
      </c>
      <c r="AQ23" s="33">
        <f>AO23-AP23</f>
        <v/>
      </c>
      <c r="AR23" s="33">
        <f>IF('Your debts'!$F$13="",0,MIN(AQ23,MAX(0,MAX(0,'Your debts'!$C$19-(G23+L23+Q23+V23+AA23+AF23+AK23+AP23+AU23+AZ23))-(IF(AND('Your debts'!$F$6&lt;&gt;"",'Your debts'!$F$13&lt;&gt;"",'Your debts'!$F$6&lt;'Your debts'!$F$13),H23,0)+IF(AND('Your debts'!$F$7&lt;&gt;"",'Your debts'!$F$13&lt;&gt;"",'Your debts'!$F$7&lt;'Your debts'!$F$13),M23,0)+IF(AND('Your debts'!$F$8&lt;&gt;"",'Your debts'!$F$13&lt;&gt;"",'Your debts'!$F$8&lt;'Your debts'!$F$13),R23,0)+IF(AND('Your debts'!$F$9&lt;&gt;"",'Your debts'!$F$13&lt;&gt;"",'Your debts'!$F$9&lt;'Your debts'!$F$13),W23,0)+IF(AND('Your debts'!$F$10&lt;&gt;"",'Your debts'!$F$13&lt;&gt;"",'Your debts'!$F$10&lt;'Your debts'!$F$13),AB23,0)+IF(AND('Your debts'!$F$11&lt;&gt;"",'Your debts'!$F$13&lt;&gt;"",'Your debts'!$F$11&lt;'Your debts'!$F$13),AG23,0)+IF(AND('Your debts'!$F$12&lt;&gt;"",'Your debts'!$F$13&lt;&gt;"",'Your debts'!$F$12&lt;'Your debts'!$F$13),AL23,0)+IF(AND('Your debts'!$F$14&lt;&gt;"",'Your debts'!$F$13&lt;&gt;"",'Your debts'!$F$14&lt;'Your debts'!$F$13),AV23,0)+IF(AND('Your debts'!$F$15&lt;&gt;"",'Your debts'!$F$13&lt;&gt;"",'Your debts'!$F$15&lt;'Your debts'!$F$13),BA23,0)))))</f>
        <v/>
      </c>
      <c r="AS23" s="33">
        <f>AQ23-AR23</f>
        <v/>
      </c>
      <c r="AT23" s="33">
        <f>IF(AX22&lt;=0,0,ROUND(AX22*(1+'Your debts'!$D$14/1200),2))</f>
        <v/>
      </c>
      <c r="AU23" s="33">
        <f>IF(AT23&lt;=0,0,MIN('Your debts'!$E$14,AT23))</f>
        <v/>
      </c>
      <c r="AV23" s="33">
        <f>AT23-AU23</f>
        <v/>
      </c>
      <c r="AW23" s="33">
        <f>IF('Your debts'!$F$14="",0,MIN(AV23,MAX(0,MAX(0,'Your debts'!$C$19-(G23+L23+Q23+V23+AA23+AF23+AK23+AP23+AU23+AZ23))-(IF(AND('Your debts'!$F$6&lt;&gt;"",'Your debts'!$F$14&lt;&gt;"",'Your debts'!$F$6&lt;'Your debts'!$F$14),H23,0)+IF(AND('Your debts'!$F$7&lt;&gt;"",'Your debts'!$F$14&lt;&gt;"",'Your debts'!$F$7&lt;'Your debts'!$F$14),M23,0)+IF(AND('Your debts'!$F$8&lt;&gt;"",'Your debts'!$F$14&lt;&gt;"",'Your debts'!$F$8&lt;'Your debts'!$F$14),R23,0)+IF(AND('Your debts'!$F$9&lt;&gt;"",'Your debts'!$F$14&lt;&gt;"",'Your debts'!$F$9&lt;'Your debts'!$F$14),W23,0)+IF(AND('Your debts'!$F$10&lt;&gt;"",'Your debts'!$F$14&lt;&gt;"",'Your debts'!$F$10&lt;'Your debts'!$F$14),AB23,0)+IF(AND('Your debts'!$F$11&lt;&gt;"",'Your debts'!$F$14&lt;&gt;"",'Your debts'!$F$11&lt;'Your debts'!$F$14),AG23,0)+IF(AND('Your debts'!$F$12&lt;&gt;"",'Your debts'!$F$14&lt;&gt;"",'Your debts'!$F$12&lt;'Your debts'!$F$14),AL23,0)+IF(AND('Your debts'!$F$13&lt;&gt;"",'Your debts'!$F$14&lt;&gt;"",'Your debts'!$F$13&lt;'Your debts'!$F$14),AQ23,0)+IF(AND('Your debts'!$F$15&lt;&gt;"",'Your debts'!$F$14&lt;&gt;"",'Your debts'!$F$15&lt;'Your debts'!$F$14),BA23,0)))))</f>
        <v/>
      </c>
      <c r="AX23" s="33">
        <f>AV23-AW23</f>
        <v/>
      </c>
      <c r="AY23" s="33">
        <f>IF(BC22&lt;=0,0,ROUND(BC22*(1+'Your debts'!$D$15/1200),2))</f>
        <v/>
      </c>
      <c r="AZ23" s="33">
        <f>IF(AY23&lt;=0,0,MIN('Your debts'!$E$15,AY23))</f>
        <v/>
      </c>
      <c r="BA23" s="33">
        <f>AY23-AZ23</f>
        <v/>
      </c>
      <c r="BB23" s="33">
        <f>IF('Your debts'!$F$15="",0,MIN(BA23,MAX(0,MAX(0,'Your debts'!$C$19-(G23+L23+Q23+V23+AA23+AF23+AK23+AP23+AU23+AZ23))-(IF(AND('Your debts'!$F$6&lt;&gt;"",'Your debts'!$F$15&lt;&gt;"",'Your debts'!$F$6&lt;'Your debts'!$F$15),H23,0)+IF(AND('Your debts'!$F$7&lt;&gt;"",'Your debts'!$F$15&lt;&gt;"",'Your debts'!$F$7&lt;'Your debts'!$F$15),M23,0)+IF(AND('Your debts'!$F$8&lt;&gt;"",'Your debts'!$F$15&lt;&gt;"",'Your debts'!$F$8&lt;'Your debts'!$F$15),R23,0)+IF(AND('Your debts'!$F$9&lt;&gt;"",'Your debts'!$F$15&lt;&gt;"",'Your debts'!$F$9&lt;'Your debts'!$F$15),W23,0)+IF(AND('Your debts'!$F$10&lt;&gt;"",'Your debts'!$F$15&lt;&gt;"",'Your debts'!$F$10&lt;'Your debts'!$F$15),AB23,0)+IF(AND('Your debts'!$F$11&lt;&gt;"",'Your debts'!$F$15&lt;&gt;"",'Your debts'!$F$11&lt;'Your debts'!$F$15),AG23,0)+IF(AND('Your debts'!$F$12&lt;&gt;"",'Your debts'!$F$15&lt;&gt;"",'Your debts'!$F$12&lt;'Your debts'!$F$15),AL23,0)+IF(AND('Your debts'!$F$13&lt;&gt;"",'Your debts'!$F$15&lt;&gt;"",'Your debts'!$F$13&lt;'Your debts'!$F$15),AQ23,0)+IF(AND('Your debts'!$F$14&lt;&gt;"",'Your debts'!$F$15&lt;&gt;"",'Your debts'!$F$14&lt;'Your debts'!$F$15),AV23,0)))))</f>
        <v/>
      </c>
      <c r="BC23" s="33">
        <f>BA23-BB23</f>
        <v/>
      </c>
    </row>
    <row r="24">
      <c r="A24" s="30" t="n">
        <v>9</v>
      </c>
      <c r="B24" s="31">
        <f>EDATE($B$15,9)</f>
        <v/>
      </c>
      <c r="C24" s="32">
        <f>IF(J23&lt;=0,0,F24-J23)+IF(O23&lt;=0,0,K24-O23)+IF(T23&lt;=0,0,P24-T23)+IF(Y23&lt;=0,0,U24-Y23)+IF(AD23&lt;=0,0,Z24-AD23)+IF(AI23&lt;=0,0,AE24-AI23)+IF(AN23&lt;=0,0,AJ24-AN23)+IF(AS23&lt;=0,0,AO24-AS23)+IF(AX23&lt;=0,0,AT24-AX23)+IF(BC23&lt;=0,0,AY24-BC23)</f>
        <v/>
      </c>
      <c r="D24" s="32">
        <f>G24+I24+L24+N24+Q24+S24+V24+X24+AA24+AC24+AF24+AH24+AK24+AM24+AP24+AR24+AU24+AW24+AZ24+BB24</f>
        <v/>
      </c>
      <c r="E24" s="32">
        <f>J24+O24+T24+Y24+AD24+AI24+AN24+AS24+AX24+BC24</f>
        <v/>
      </c>
      <c r="F24" s="33">
        <f>IF(J23&lt;=0,0,ROUND(J23*(1+'Your debts'!$D$6/1200),2))</f>
        <v/>
      </c>
      <c r="G24" s="33">
        <f>IF(F24&lt;=0,0,MIN('Your debts'!$E$6,F24))</f>
        <v/>
      </c>
      <c r="H24" s="33">
        <f>F24-G24</f>
        <v/>
      </c>
      <c r="I24" s="33">
        <f>IF('Your debts'!$F$6="",0,MIN(H24,MAX(0,MAX(0,'Your debts'!$C$19-(G24+L24+Q24+V24+AA24+AF24+AK24+AP24+AU24+AZ24))-(IF(AND('Your debts'!$F$7&lt;&gt;"",'Your debts'!$F$6&lt;&gt;"",'Your debts'!$F$7&lt;'Your debts'!$F$6),M24,0)+IF(AND('Your debts'!$F$8&lt;&gt;"",'Your debts'!$F$6&lt;&gt;"",'Your debts'!$F$8&lt;'Your debts'!$F$6),R24,0)+IF(AND('Your debts'!$F$9&lt;&gt;"",'Your debts'!$F$6&lt;&gt;"",'Your debts'!$F$9&lt;'Your debts'!$F$6),W24,0)+IF(AND('Your debts'!$F$10&lt;&gt;"",'Your debts'!$F$6&lt;&gt;"",'Your debts'!$F$10&lt;'Your debts'!$F$6),AB24,0)+IF(AND('Your debts'!$F$11&lt;&gt;"",'Your debts'!$F$6&lt;&gt;"",'Your debts'!$F$11&lt;'Your debts'!$F$6),AG24,0)+IF(AND('Your debts'!$F$12&lt;&gt;"",'Your debts'!$F$6&lt;&gt;"",'Your debts'!$F$12&lt;'Your debts'!$F$6),AL24,0)+IF(AND('Your debts'!$F$13&lt;&gt;"",'Your debts'!$F$6&lt;&gt;"",'Your debts'!$F$13&lt;'Your debts'!$F$6),AQ24,0)+IF(AND('Your debts'!$F$14&lt;&gt;"",'Your debts'!$F$6&lt;&gt;"",'Your debts'!$F$14&lt;'Your debts'!$F$6),AV24,0)+IF(AND('Your debts'!$F$15&lt;&gt;"",'Your debts'!$F$6&lt;&gt;"",'Your debts'!$F$15&lt;'Your debts'!$F$6),BA24,0)))))</f>
        <v/>
      </c>
      <c r="J24" s="33">
        <f>H24-I24</f>
        <v/>
      </c>
      <c r="K24" s="33">
        <f>IF(O23&lt;=0,0,ROUND(O23*(1+'Your debts'!$D$7/1200),2))</f>
        <v/>
      </c>
      <c r="L24" s="33">
        <f>IF(K24&lt;=0,0,MIN('Your debts'!$E$7,K24))</f>
        <v/>
      </c>
      <c r="M24" s="33">
        <f>K24-L24</f>
        <v/>
      </c>
      <c r="N24" s="33">
        <f>IF('Your debts'!$F$7="",0,MIN(M24,MAX(0,MAX(0,'Your debts'!$C$19-(G24+L24+Q24+V24+AA24+AF24+AK24+AP24+AU24+AZ24))-(IF(AND('Your debts'!$F$6&lt;&gt;"",'Your debts'!$F$7&lt;&gt;"",'Your debts'!$F$6&lt;'Your debts'!$F$7),H24,0)+IF(AND('Your debts'!$F$8&lt;&gt;"",'Your debts'!$F$7&lt;&gt;"",'Your debts'!$F$8&lt;'Your debts'!$F$7),R24,0)+IF(AND('Your debts'!$F$9&lt;&gt;"",'Your debts'!$F$7&lt;&gt;"",'Your debts'!$F$9&lt;'Your debts'!$F$7),W24,0)+IF(AND('Your debts'!$F$10&lt;&gt;"",'Your debts'!$F$7&lt;&gt;"",'Your debts'!$F$10&lt;'Your debts'!$F$7),AB24,0)+IF(AND('Your debts'!$F$11&lt;&gt;"",'Your debts'!$F$7&lt;&gt;"",'Your debts'!$F$11&lt;'Your debts'!$F$7),AG24,0)+IF(AND('Your debts'!$F$12&lt;&gt;"",'Your debts'!$F$7&lt;&gt;"",'Your debts'!$F$12&lt;'Your debts'!$F$7),AL24,0)+IF(AND('Your debts'!$F$13&lt;&gt;"",'Your debts'!$F$7&lt;&gt;"",'Your debts'!$F$13&lt;'Your debts'!$F$7),AQ24,0)+IF(AND('Your debts'!$F$14&lt;&gt;"",'Your debts'!$F$7&lt;&gt;"",'Your debts'!$F$14&lt;'Your debts'!$F$7),AV24,0)+IF(AND('Your debts'!$F$15&lt;&gt;"",'Your debts'!$F$7&lt;&gt;"",'Your debts'!$F$15&lt;'Your debts'!$F$7),BA24,0)))))</f>
        <v/>
      </c>
      <c r="O24" s="33">
        <f>M24-N24</f>
        <v/>
      </c>
      <c r="P24" s="33">
        <f>IF(T23&lt;=0,0,ROUND(T23*(1+'Your debts'!$D$8/1200),2))</f>
        <v/>
      </c>
      <c r="Q24" s="33">
        <f>IF(P24&lt;=0,0,MIN('Your debts'!$E$8,P24))</f>
        <v/>
      </c>
      <c r="R24" s="33">
        <f>P24-Q24</f>
        <v/>
      </c>
      <c r="S24" s="33">
        <f>IF('Your debts'!$F$8="",0,MIN(R24,MAX(0,MAX(0,'Your debts'!$C$19-(G24+L24+Q24+V24+AA24+AF24+AK24+AP24+AU24+AZ24))-(IF(AND('Your debts'!$F$6&lt;&gt;"",'Your debts'!$F$8&lt;&gt;"",'Your debts'!$F$6&lt;'Your debts'!$F$8),H24,0)+IF(AND('Your debts'!$F$7&lt;&gt;"",'Your debts'!$F$8&lt;&gt;"",'Your debts'!$F$7&lt;'Your debts'!$F$8),M24,0)+IF(AND('Your debts'!$F$9&lt;&gt;"",'Your debts'!$F$8&lt;&gt;"",'Your debts'!$F$9&lt;'Your debts'!$F$8),W24,0)+IF(AND('Your debts'!$F$10&lt;&gt;"",'Your debts'!$F$8&lt;&gt;"",'Your debts'!$F$10&lt;'Your debts'!$F$8),AB24,0)+IF(AND('Your debts'!$F$11&lt;&gt;"",'Your debts'!$F$8&lt;&gt;"",'Your debts'!$F$11&lt;'Your debts'!$F$8),AG24,0)+IF(AND('Your debts'!$F$12&lt;&gt;"",'Your debts'!$F$8&lt;&gt;"",'Your debts'!$F$12&lt;'Your debts'!$F$8),AL24,0)+IF(AND('Your debts'!$F$13&lt;&gt;"",'Your debts'!$F$8&lt;&gt;"",'Your debts'!$F$13&lt;'Your debts'!$F$8),AQ24,0)+IF(AND('Your debts'!$F$14&lt;&gt;"",'Your debts'!$F$8&lt;&gt;"",'Your debts'!$F$14&lt;'Your debts'!$F$8),AV24,0)+IF(AND('Your debts'!$F$15&lt;&gt;"",'Your debts'!$F$8&lt;&gt;"",'Your debts'!$F$15&lt;'Your debts'!$F$8),BA24,0)))))</f>
        <v/>
      </c>
      <c r="T24" s="33">
        <f>R24-S24</f>
        <v/>
      </c>
      <c r="U24" s="33">
        <f>IF(Y23&lt;=0,0,ROUND(Y23*(1+'Your debts'!$D$9/1200),2))</f>
        <v/>
      </c>
      <c r="V24" s="33">
        <f>IF(U24&lt;=0,0,MIN('Your debts'!$E$9,U24))</f>
        <v/>
      </c>
      <c r="W24" s="33">
        <f>U24-V24</f>
        <v/>
      </c>
      <c r="X24" s="33">
        <f>IF('Your debts'!$F$9="",0,MIN(W24,MAX(0,MAX(0,'Your debts'!$C$19-(G24+L24+Q24+V24+AA24+AF24+AK24+AP24+AU24+AZ24))-(IF(AND('Your debts'!$F$6&lt;&gt;"",'Your debts'!$F$9&lt;&gt;"",'Your debts'!$F$6&lt;'Your debts'!$F$9),H24,0)+IF(AND('Your debts'!$F$7&lt;&gt;"",'Your debts'!$F$9&lt;&gt;"",'Your debts'!$F$7&lt;'Your debts'!$F$9),M24,0)+IF(AND('Your debts'!$F$8&lt;&gt;"",'Your debts'!$F$9&lt;&gt;"",'Your debts'!$F$8&lt;'Your debts'!$F$9),R24,0)+IF(AND('Your debts'!$F$10&lt;&gt;"",'Your debts'!$F$9&lt;&gt;"",'Your debts'!$F$10&lt;'Your debts'!$F$9),AB24,0)+IF(AND('Your debts'!$F$11&lt;&gt;"",'Your debts'!$F$9&lt;&gt;"",'Your debts'!$F$11&lt;'Your debts'!$F$9),AG24,0)+IF(AND('Your debts'!$F$12&lt;&gt;"",'Your debts'!$F$9&lt;&gt;"",'Your debts'!$F$12&lt;'Your debts'!$F$9),AL24,0)+IF(AND('Your debts'!$F$13&lt;&gt;"",'Your debts'!$F$9&lt;&gt;"",'Your debts'!$F$13&lt;'Your debts'!$F$9),AQ24,0)+IF(AND('Your debts'!$F$14&lt;&gt;"",'Your debts'!$F$9&lt;&gt;"",'Your debts'!$F$14&lt;'Your debts'!$F$9),AV24,0)+IF(AND('Your debts'!$F$15&lt;&gt;"",'Your debts'!$F$9&lt;&gt;"",'Your debts'!$F$15&lt;'Your debts'!$F$9),BA24,0)))))</f>
        <v/>
      </c>
      <c r="Y24" s="33">
        <f>W24-X24</f>
        <v/>
      </c>
      <c r="Z24" s="33">
        <f>IF(AD23&lt;=0,0,ROUND(AD23*(1+'Your debts'!$D$10/1200),2))</f>
        <v/>
      </c>
      <c r="AA24" s="33">
        <f>IF(Z24&lt;=0,0,MIN('Your debts'!$E$10,Z24))</f>
        <v/>
      </c>
      <c r="AB24" s="33">
        <f>Z24-AA24</f>
        <v/>
      </c>
      <c r="AC24" s="33">
        <f>IF('Your debts'!$F$10="",0,MIN(AB24,MAX(0,MAX(0,'Your debts'!$C$19-(G24+L24+Q24+V24+AA24+AF24+AK24+AP24+AU24+AZ24))-(IF(AND('Your debts'!$F$6&lt;&gt;"",'Your debts'!$F$10&lt;&gt;"",'Your debts'!$F$6&lt;'Your debts'!$F$10),H24,0)+IF(AND('Your debts'!$F$7&lt;&gt;"",'Your debts'!$F$10&lt;&gt;"",'Your debts'!$F$7&lt;'Your debts'!$F$10),M24,0)+IF(AND('Your debts'!$F$8&lt;&gt;"",'Your debts'!$F$10&lt;&gt;"",'Your debts'!$F$8&lt;'Your debts'!$F$10),R24,0)+IF(AND('Your debts'!$F$9&lt;&gt;"",'Your debts'!$F$10&lt;&gt;"",'Your debts'!$F$9&lt;'Your debts'!$F$10),W24,0)+IF(AND('Your debts'!$F$11&lt;&gt;"",'Your debts'!$F$10&lt;&gt;"",'Your debts'!$F$11&lt;'Your debts'!$F$10),AG24,0)+IF(AND('Your debts'!$F$12&lt;&gt;"",'Your debts'!$F$10&lt;&gt;"",'Your debts'!$F$12&lt;'Your debts'!$F$10),AL24,0)+IF(AND('Your debts'!$F$13&lt;&gt;"",'Your debts'!$F$10&lt;&gt;"",'Your debts'!$F$13&lt;'Your debts'!$F$10),AQ24,0)+IF(AND('Your debts'!$F$14&lt;&gt;"",'Your debts'!$F$10&lt;&gt;"",'Your debts'!$F$14&lt;'Your debts'!$F$10),AV24,0)+IF(AND('Your debts'!$F$15&lt;&gt;"",'Your debts'!$F$10&lt;&gt;"",'Your debts'!$F$15&lt;'Your debts'!$F$10),BA24,0)))))</f>
        <v/>
      </c>
      <c r="AD24" s="33">
        <f>AB24-AC24</f>
        <v/>
      </c>
      <c r="AE24" s="33">
        <f>IF(AI23&lt;=0,0,ROUND(AI23*(1+'Your debts'!$D$11/1200),2))</f>
        <v/>
      </c>
      <c r="AF24" s="33">
        <f>IF(AE24&lt;=0,0,MIN('Your debts'!$E$11,AE24))</f>
        <v/>
      </c>
      <c r="AG24" s="33">
        <f>AE24-AF24</f>
        <v/>
      </c>
      <c r="AH24" s="33">
        <f>IF('Your debts'!$F$11="",0,MIN(AG24,MAX(0,MAX(0,'Your debts'!$C$19-(G24+L24+Q24+V24+AA24+AF24+AK24+AP24+AU24+AZ24))-(IF(AND('Your debts'!$F$6&lt;&gt;"",'Your debts'!$F$11&lt;&gt;"",'Your debts'!$F$6&lt;'Your debts'!$F$11),H24,0)+IF(AND('Your debts'!$F$7&lt;&gt;"",'Your debts'!$F$11&lt;&gt;"",'Your debts'!$F$7&lt;'Your debts'!$F$11),M24,0)+IF(AND('Your debts'!$F$8&lt;&gt;"",'Your debts'!$F$11&lt;&gt;"",'Your debts'!$F$8&lt;'Your debts'!$F$11),R24,0)+IF(AND('Your debts'!$F$9&lt;&gt;"",'Your debts'!$F$11&lt;&gt;"",'Your debts'!$F$9&lt;'Your debts'!$F$11),W24,0)+IF(AND('Your debts'!$F$10&lt;&gt;"",'Your debts'!$F$11&lt;&gt;"",'Your debts'!$F$10&lt;'Your debts'!$F$11),AB24,0)+IF(AND('Your debts'!$F$12&lt;&gt;"",'Your debts'!$F$11&lt;&gt;"",'Your debts'!$F$12&lt;'Your debts'!$F$11),AL24,0)+IF(AND('Your debts'!$F$13&lt;&gt;"",'Your debts'!$F$11&lt;&gt;"",'Your debts'!$F$13&lt;'Your debts'!$F$11),AQ24,0)+IF(AND('Your debts'!$F$14&lt;&gt;"",'Your debts'!$F$11&lt;&gt;"",'Your debts'!$F$14&lt;'Your debts'!$F$11),AV24,0)+IF(AND('Your debts'!$F$15&lt;&gt;"",'Your debts'!$F$11&lt;&gt;"",'Your debts'!$F$15&lt;'Your debts'!$F$11),BA24,0)))))</f>
        <v/>
      </c>
      <c r="AI24" s="33">
        <f>AG24-AH24</f>
        <v/>
      </c>
      <c r="AJ24" s="33">
        <f>IF(AN23&lt;=0,0,ROUND(AN23*(1+'Your debts'!$D$12/1200),2))</f>
        <v/>
      </c>
      <c r="AK24" s="33">
        <f>IF(AJ24&lt;=0,0,MIN('Your debts'!$E$12,AJ24))</f>
        <v/>
      </c>
      <c r="AL24" s="33">
        <f>AJ24-AK24</f>
        <v/>
      </c>
      <c r="AM24" s="33">
        <f>IF('Your debts'!$F$12="",0,MIN(AL24,MAX(0,MAX(0,'Your debts'!$C$19-(G24+L24+Q24+V24+AA24+AF24+AK24+AP24+AU24+AZ24))-(IF(AND('Your debts'!$F$6&lt;&gt;"",'Your debts'!$F$12&lt;&gt;"",'Your debts'!$F$6&lt;'Your debts'!$F$12),H24,0)+IF(AND('Your debts'!$F$7&lt;&gt;"",'Your debts'!$F$12&lt;&gt;"",'Your debts'!$F$7&lt;'Your debts'!$F$12),M24,0)+IF(AND('Your debts'!$F$8&lt;&gt;"",'Your debts'!$F$12&lt;&gt;"",'Your debts'!$F$8&lt;'Your debts'!$F$12),R24,0)+IF(AND('Your debts'!$F$9&lt;&gt;"",'Your debts'!$F$12&lt;&gt;"",'Your debts'!$F$9&lt;'Your debts'!$F$12),W24,0)+IF(AND('Your debts'!$F$10&lt;&gt;"",'Your debts'!$F$12&lt;&gt;"",'Your debts'!$F$10&lt;'Your debts'!$F$12),AB24,0)+IF(AND('Your debts'!$F$11&lt;&gt;"",'Your debts'!$F$12&lt;&gt;"",'Your debts'!$F$11&lt;'Your debts'!$F$12),AG24,0)+IF(AND('Your debts'!$F$13&lt;&gt;"",'Your debts'!$F$12&lt;&gt;"",'Your debts'!$F$13&lt;'Your debts'!$F$12),AQ24,0)+IF(AND('Your debts'!$F$14&lt;&gt;"",'Your debts'!$F$12&lt;&gt;"",'Your debts'!$F$14&lt;'Your debts'!$F$12),AV24,0)+IF(AND('Your debts'!$F$15&lt;&gt;"",'Your debts'!$F$12&lt;&gt;"",'Your debts'!$F$15&lt;'Your debts'!$F$12),BA24,0)))))</f>
        <v/>
      </c>
      <c r="AN24" s="33">
        <f>AL24-AM24</f>
        <v/>
      </c>
      <c r="AO24" s="33">
        <f>IF(AS23&lt;=0,0,ROUND(AS23*(1+'Your debts'!$D$13/1200),2))</f>
        <v/>
      </c>
      <c r="AP24" s="33">
        <f>IF(AO24&lt;=0,0,MIN('Your debts'!$E$13,AO24))</f>
        <v/>
      </c>
      <c r="AQ24" s="33">
        <f>AO24-AP24</f>
        <v/>
      </c>
      <c r="AR24" s="33">
        <f>IF('Your debts'!$F$13="",0,MIN(AQ24,MAX(0,MAX(0,'Your debts'!$C$19-(G24+L24+Q24+V24+AA24+AF24+AK24+AP24+AU24+AZ24))-(IF(AND('Your debts'!$F$6&lt;&gt;"",'Your debts'!$F$13&lt;&gt;"",'Your debts'!$F$6&lt;'Your debts'!$F$13),H24,0)+IF(AND('Your debts'!$F$7&lt;&gt;"",'Your debts'!$F$13&lt;&gt;"",'Your debts'!$F$7&lt;'Your debts'!$F$13),M24,0)+IF(AND('Your debts'!$F$8&lt;&gt;"",'Your debts'!$F$13&lt;&gt;"",'Your debts'!$F$8&lt;'Your debts'!$F$13),R24,0)+IF(AND('Your debts'!$F$9&lt;&gt;"",'Your debts'!$F$13&lt;&gt;"",'Your debts'!$F$9&lt;'Your debts'!$F$13),W24,0)+IF(AND('Your debts'!$F$10&lt;&gt;"",'Your debts'!$F$13&lt;&gt;"",'Your debts'!$F$10&lt;'Your debts'!$F$13),AB24,0)+IF(AND('Your debts'!$F$11&lt;&gt;"",'Your debts'!$F$13&lt;&gt;"",'Your debts'!$F$11&lt;'Your debts'!$F$13),AG24,0)+IF(AND('Your debts'!$F$12&lt;&gt;"",'Your debts'!$F$13&lt;&gt;"",'Your debts'!$F$12&lt;'Your debts'!$F$13),AL24,0)+IF(AND('Your debts'!$F$14&lt;&gt;"",'Your debts'!$F$13&lt;&gt;"",'Your debts'!$F$14&lt;'Your debts'!$F$13),AV24,0)+IF(AND('Your debts'!$F$15&lt;&gt;"",'Your debts'!$F$13&lt;&gt;"",'Your debts'!$F$15&lt;'Your debts'!$F$13),BA24,0)))))</f>
        <v/>
      </c>
      <c r="AS24" s="33">
        <f>AQ24-AR24</f>
        <v/>
      </c>
      <c r="AT24" s="33">
        <f>IF(AX23&lt;=0,0,ROUND(AX23*(1+'Your debts'!$D$14/1200),2))</f>
        <v/>
      </c>
      <c r="AU24" s="33">
        <f>IF(AT24&lt;=0,0,MIN('Your debts'!$E$14,AT24))</f>
        <v/>
      </c>
      <c r="AV24" s="33">
        <f>AT24-AU24</f>
        <v/>
      </c>
      <c r="AW24" s="33">
        <f>IF('Your debts'!$F$14="",0,MIN(AV24,MAX(0,MAX(0,'Your debts'!$C$19-(G24+L24+Q24+V24+AA24+AF24+AK24+AP24+AU24+AZ24))-(IF(AND('Your debts'!$F$6&lt;&gt;"",'Your debts'!$F$14&lt;&gt;"",'Your debts'!$F$6&lt;'Your debts'!$F$14),H24,0)+IF(AND('Your debts'!$F$7&lt;&gt;"",'Your debts'!$F$14&lt;&gt;"",'Your debts'!$F$7&lt;'Your debts'!$F$14),M24,0)+IF(AND('Your debts'!$F$8&lt;&gt;"",'Your debts'!$F$14&lt;&gt;"",'Your debts'!$F$8&lt;'Your debts'!$F$14),R24,0)+IF(AND('Your debts'!$F$9&lt;&gt;"",'Your debts'!$F$14&lt;&gt;"",'Your debts'!$F$9&lt;'Your debts'!$F$14),W24,0)+IF(AND('Your debts'!$F$10&lt;&gt;"",'Your debts'!$F$14&lt;&gt;"",'Your debts'!$F$10&lt;'Your debts'!$F$14),AB24,0)+IF(AND('Your debts'!$F$11&lt;&gt;"",'Your debts'!$F$14&lt;&gt;"",'Your debts'!$F$11&lt;'Your debts'!$F$14),AG24,0)+IF(AND('Your debts'!$F$12&lt;&gt;"",'Your debts'!$F$14&lt;&gt;"",'Your debts'!$F$12&lt;'Your debts'!$F$14),AL24,0)+IF(AND('Your debts'!$F$13&lt;&gt;"",'Your debts'!$F$14&lt;&gt;"",'Your debts'!$F$13&lt;'Your debts'!$F$14),AQ24,0)+IF(AND('Your debts'!$F$15&lt;&gt;"",'Your debts'!$F$14&lt;&gt;"",'Your debts'!$F$15&lt;'Your debts'!$F$14),BA24,0)))))</f>
        <v/>
      </c>
      <c r="AX24" s="33">
        <f>AV24-AW24</f>
        <v/>
      </c>
      <c r="AY24" s="33">
        <f>IF(BC23&lt;=0,0,ROUND(BC23*(1+'Your debts'!$D$15/1200),2))</f>
        <v/>
      </c>
      <c r="AZ24" s="33">
        <f>IF(AY24&lt;=0,0,MIN('Your debts'!$E$15,AY24))</f>
        <v/>
      </c>
      <c r="BA24" s="33">
        <f>AY24-AZ24</f>
        <v/>
      </c>
      <c r="BB24" s="33">
        <f>IF('Your debts'!$F$15="",0,MIN(BA24,MAX(0,MAX(0,'Your debts'!$C$19-(G24+L24+Q24+V24+AA24+AF24+AK24+AP24+AU24+AZ24))-(IF(AND('Your debts'!$F$6&lt;&gt;"",'Your debts'!$F$15&lt;&gt;"",'Your debts'!$F$6&lt;'Your debts'!$F$15),H24,0)+IF(AND('Your debts'!$F$7&lt;&gt;"",'Your debts'!$F$15&lt;&gt;"",'Your debts'!$F$7&lt;'Your debts'!$F$15),M24,0)+IF(AND('Your debts'!$F$8&lt;&gt;"",'Your debts'!$F$15&lt;&gt;"",'Your debts'!$F$8&lt;'Your debts'!$F$15),R24,0)+IF(AND('Your debts'!$F$9&lt;&gt;"",'Your debts'!$F$15&lt;&gt;"",'Your debts'!$F$9&lt;'Your debts'!$F$15),W24,0)+IF(AND('Your debts'!$F$10&lt;&gt;"",'Your debts'!$F$15&lt;&gt;"",'Your debts'!$F$10&lt;'Your debts'!$F$15),AB24,0)+IF(AND('Your debts'!$F$11&lt;&gt;"",'Your debts'!$F$15&lt;&gt;"",'Your debts'!$F$11&lt;'Your debts'!$F$15),AG24,0)+IF(AND('Your debts'!$F$12&lt;&gt;"",'Your debts'!$F$15&lt;&gt;"",'Your debts'!$F$12&lt;'Your debts'!$F$15),AL24,0)+IF(AND('Your debts'!$F$13&lt;&gt;"",'Your debts'!$F$15&lt;&gt;"",'Your debts'!$F$13&lt;'Your debts'!$F$15),AQ24,0)+IF(AND('Your debts'!$F$14&lt;&gt;"",'Your debts'!$F$15&lt;&gt;"",'Your debts'!$F$14&lt;'Your debts'!$F$15),AV24,0)))))</f>
        <v/>
      </c>
      <c r="BC24" s="33">
        <f>BA24-BB24</f>
        <v/>
      </c>
    </row>
    <row r="25">
      <c r="A25" s="30" t="n">
        <v>10</v>
      </c>
      <c r="B25" s="31">
        <f>EDATE($B$15,10)</f>
        <v/>
      </c>
      <c r="C25" s="32">
        <f>IF(J24&lt;=0,0,F25-J24)+IF(O24&lt;=0,0,K25-O24)+IF(T24&lt;=0,0,P25-T24)+IF(Y24&lt;=0,0,U25-Y24)+IF(AD24&lt;=0,0,Z25-AD24)+IF(AI24&lt;=0,0,AE25-AI24)+IF(AN24&lt;=0,0,AJ25-AN24)+IF(AS24&lt;=0,0,AO25-AS24)+IF(AX24&lt;=0,0,AT25-AX24)+IF(BC24&lt;=0,0,AY25-BC24)</f>
        <v/>
      </c>
      <c r="D25" s="32">
        <f>G25+I25+L25+N25+Q25+S25+V25+X25+AA25+AC25+AF25+AH25+AK25+AM25+AP25+AR25+AU25+AW25+AZ25+BB25</f>
        <v/>
      </c>
      <c r="E25" s="32">
        <f>J25+O25+T25+Y25+AD25+AI25+AN25+AS25+AX25+BC25</f>
        <v/>
      </c>
      <c r="F25" s="33">
        <f>IF(J24&lt;=0,0,ROUND(J24*(1+'Your debts'!$D$6/1200),2))</f>
        <v/>
      </c>
      <c r="G25" s="33">
        <f>IF(F25&lt;=0,0,MIN('Your debts'!$E$6,F25))</f>
        <v/>
      </c>
      <c r="H25" s="33">
        <f>F25-G25</f>
        <v/>
      </c>
      <c r="I25" s="33">
        <f>IF('Your debts'!$F$6="",0,MIN(H25,MAX(0,MAX(0,'Your debts'!$C$19-(G25+L25+Q25+V25+AA25+AF25+AK25+AP25+AU25+AZ25))-(IF(AND('Your debts'!$F$7&lt;&gt;"",'Your debts'!$F$6&lt;&gt;"",'Your debts'!$F$7&lt;'Your debts'!$F$6),M25,0)+IF(AND('Your debts'!$F$8&lt;&gt;"",'Your debts'!$F$6&lt;&gt;"",'Your debts'!$F$8&lt;'Your debts'!$F$6),R25,0)+IF(AND('Your debts'!$F$9&lt;&gt;"",'Your debts'!$F$6&lt;&gt;"",'Your debts'!$F$9&lt;'Your debts'!$F$6),W25,0)+IF(AND('Your debts'!$F$10&lt;&gt;"",'Your debts'!$F$6&lt;&gt;"",'Your debts'!$F$10&lt;'Your debts'!$F$6),AB25,0)+IF(AND('Your debts'!$F$11&lt;&gt;"",'Your debts'!$F$6&lt;&gt;"",'Your debts'!$F$11&lt;'Your debts'!$F$6),AG25,0)+IF(AND('Your debts'!$F$12&lt;&gt;"",'Your debts'!$F$6&lt;&gt;"",'Your debts'!$F$12&lt;'Your debts'!$F$6),AL25,0)+IF(AND('Your debts'!$F$13&lt;&gt;"",'Your debts'!$F$6&lt;&gt;"",'Your debts'!$F$13&lt;'Your debts'!$F$6),AQ25,0)+IF(AND('Your debts'!$F$14&lt;&gt;"",'Your debts'!$F$6&lt;&gt;"",'Your debts'!$F$14&lt;'Your debts'!$F$6),AV25,0)+IF(AND('Your debts'!$F$15&lt;&gt;"",'Your debts'!$F$6&lt;&gt;"",'Your debts'!$F$15&lt;'Your debts'!$F$6),BA25,0)))))</f>
        <v/>
      </c>
      <c r="J25" s="33">
        <f>H25-I25</f>
        <v/>
      </c>
      <c r="K25" s="33">
        <f>IF(O24&lt;=0,0,ROUND(O24*(1+'Your debts'!$D$7/1200),2))</f>
        <v/>
      </c>
      <c r="L25" s="33">
        <f>IF(K25&lt;=0,0,MIN('Your debts'!$E$7,K25))</f>
        <v/>
      </c>
      <c r="M25" s="33">
        <f>K25-L25</f>
        <v/>
      </c>
      <c r="N25" s="33">
        <f>IF('Your debts'!$F$7="",0,MIN(M25,MAX(0,MAX(0,'Your debts'!$C$19-(G25+L25+Q25+V25+AA25+AF25+AK25+AP25+AU25+AZ25))-(IF(AND('Your debts'!$F$6&lt;&gt;"",'Your debts'!$F$7&lt;&gt;"",'Your debts'!$F$6&lt;'Your debts'!$F$7),H25,0)+IF(AND('Your debts'!$F$8&lt;&gt;"",'Your debts'!$F$7&lt;&gt;"",'Your debts'!$F$8&lt;'Your debts'!$F$7),R25,0)+IF(AND('Your debts'!$F$9&lt;&gt;"",'Your debts'!$F$7&lt;&gt;"",'Your debts'!$F$9&lt;'Your debts'!$F$7),W25,0)+IF(AND('Your debts'!$F$10&lt;&gt;"",'Your debts'!$F$7&lt;&gt;"",'Your debts'!$F$10&lt;'Your debts'!$F$7),AB25,0)+IF(AND('Your debts'!$F$11&lt;&gt;"",'Your debts'!$F$7&lt;&gt;"",'Your debts'!$F$11&lt;'Your debts'!$F$7),AG25,0)+IF(AND('Your debts'!$F$12&lt;&gt;"",'Your debts'!$F$7&lt;&gt;"",'Your debts'!$F$12&lt;'Your debts'!$F$7),AL25,0)+IF(AND('Your debts'!$F$13&lt;&gt;"",'Your debts'!$F$7&lt;&gt;"",'Your debts'!$F$13&lt;'Your debts'!$F$7),AQ25,0)+IF(AND('Your debts'!$F$14&lt;&gt;"",'Your debts'!$F$7&lt;&gt;"",'Your debts'!$F$14&lt;'Your debts'!$F$7),AV25,0)+IF(AND('Your debts'!$F$15&lt;&gt;"",'Your debts'!$F$7&lt;&gt;"",'Your debts'!$F$15&lt;'Your debts'!$F$7),BA25,0)))))</f>
        <v/>
      </c>
      <c r="O25" s="33">
        <f>M25-N25</f>
        <v/>
      </c>
      <c r="P25" s="33">
        <f>IF(T24&lt;=0,0,ROUND(T24*(1+'Your debts'!$D$8/1200),2))</f>
        <v/>
      </c>
      <c r="Q25" s="33">
        <f>IF(P25&lt;=0,0,MIN('Your debts'!$E$8,P25))</f>
        <v/>
      </c>
      <c r="R25" s="33">
        <f>P25-Q25</f>
        <v/>
      </c>
      <c r="S25" s="33">
        <f>IF('Your debts'!$F$8="",0,MIN(R25,MAX(0,MAX(0,'Your debts'!$C$19-(G25+L25+Q25+V25+AA25+AF25+AK25+AP25+AU25+AZ25))-(IF(AND('Your debts'!$F$6&lt;&gt;"",'Your debts'!$F$8&lt;&gt;"",'Your debts'!$F$6&lt;'Your debts'!$F$8),H25,0)+IF(AND('Your debts'!$F$7&lt;&gt;"",'Your debts'!$F$8&lt;&gt;"",'Your debts'!$F$7&lt;'Your debts'!$F$8),M25,0)+IF(AND('Your debts'!$F$9&lt;&gt;"",'Your debts'!$F$8&lt;&gt;"",'Your debts'!$F$9&lt;'Your debts'!$F$8),W25,0)+IF(AND('Your debts'!$F$10&lt;&gt;"",'Your debts'!$F$8&lt;&gt;"",'Your debts'!$F$10&lt;'Your debts'!$F$8),AB25,0)+IF(AND('Your debts'!$F$11&lt;&gt;"",'Your debts'!$F$8&lt;&gt;"",'Your debts'!$F$11&lt;'Your debts'!$F$8),AG25,0)+IF(AND('Your debts'!$F$12&lt;&gt;"",'Your debts'!$F$8&lt;&gt;"",'Your debts'!$F$12&lt;'Your debts'!$F$8),AL25,0)+IF(AND('Your debts'!$F$13&lt;&gt;"",'Your debts'!$F$8&lt;&gt;"",'Your debts'!$F$13&lt;'Your debts'!$F$8),AQ25,0)+IF(AND('Your debts'!$F$14&lt;&gt;"",'Your debts'!$F$8&lt;&gt;"",'Your debts'!$F$14&lt;'Your debts'!$F$8),AV25,0)+IF(AND('Your debts'!$F$15&lt;&gt;"",'Your debts'!$F$8&lt;&gt;"",'Your debts'!$F$15&lt;'Your debts'!$F$8),BA25,0)))))</f>
        <v/>
      </c>
      <c r="T25" s="33">
        <f>R25-S25</f>
        <v/>
      </c>
      <c r="U25" s="33">
        <f>IF(Y24&lt;=0,0,ROUND(Y24*(1+'Your debts'!$D$9/1200),2))</f>
        <v/>
      </c>
      <c r="V25" s="33">
        <f>IF(U25&lt;=0,0,MIN('Your debts'!$E$9,U25))</f>
        <v/>
      </c>
      <c r="W25" s="33">
        <f>U25-V25</f>
        <v/>
      </c>
      <c r="X25" s="33">
        <f>IF('Your debts'!$F$9="",0,MIN(W25,MAX(0,MAX(0,'Your debts'!$C$19-(G25+L25+Q25+V25+AA25+AF25+AK25+AP25+AU25+AZ25))-(IF(AND('Your debts'!$F$6&lt;&gt;"",'Your debts'!$F$9&lt;&gt;"",'Your debts'!$F$6&lt;'Your debts'!$F$9),H25,0)+IF(AND('Your debts'!$F$7&lt;&gt;"",'Your debts'!$F$9&lt;&gt;"",'Your debts'!$F$7&lt;'Your debts'!$F$9),M25,0)+IF(AND('Your debts'!$F$8&lt;&gt;"",'Your debts'!$F$9&lt;&gt;"",'Your debts'!$F$8&lt;'Your debts'!$F$9),R25,0)+IF(AND('Your debts'!$F$10&lt;&gt;"",'Your debts'!$F$9&lt;&gt;"",'Your debts'!$F$10&lt;'Your debts'!$F$9),AB25,0)+IF(AND('Your debts'!$F$11&lt;&gt;"",'Your debts'!$F$9&lt;&gt;"",'Your debts'!$F$11&lt;'Your debts'!$F$9),AG25,0)+IF(AND('Your debts'!$F$12&lt;&gt;"",'Your debts'!$F$9&lt;&gt;"",'Your debts'!$F$12&lt;'Your debts'!$F$9),AL25,0)+IF(AND('Your debts'!$F$13&lt;&gt;"",'Your debts'!$F$9&lt;&gt;"",'Your debts'!$F$13&lt;'Your debts'!$F$9),AQ25,0)+IF(AND('Your debts'!$F$14&lt;&gt;"",'Your debts'!$F$9&lt;&gt;"",'Your debts'!$F$14&lt;'Your debts'!$F$9),AV25,0)+IF(AND('Your debts'!$F$15&lt;&gt;"",'Your debts'!$F$9&lt;&gt;"",'Your debts'!$F$15&lt;'Your debts'!$F$9),BA25,0)))))</f>
        <v/>
      </c>
      <c r="Y25" s="33">
        <f>W25-X25</f>
        <v/>
      </c>
      <c r="Z25" s="33">
        <f>IF(AD24&lt;=0,0,ROUND(AD24*(1+'Your debts'!$D$10/1200),2))</f>
        <v/>
      </c>
      <c r="AA25" s="33">
        <f>IF(Z25&lt;=0,0,MIN('Your debts'!$E$10,Z25))</f>
        <v/>
      </c>
      <c r="AB25" s="33">
        <f>Z25-AA25</f>
        <v/>
      </c>
      <c r="AC25" s="33">
        <f>IF('Your debts'!$F$10="",0,MIN(AB25,MAX(0,MAX(0,'Your debts'!$C$19-(G25+L25+Q25+V25+AA25+AF25+AK25+AP25+AU25+AZ25))-(IF(AND('Your debts'!$F$6&lt;&gt;"",'Your debts'!$F$10&lt;&gt;"",'Your debts'!$F$6&lt;'Your debts'!$F$10),H25,0)+IF(AND('Your debts'!$F$7&lt;&gt;"",'Your debts'!$F$10&lt;&gt;"",'Your debts'!$F$7&lt;'Your debts'!$F$10),M25,0)+IF(AND('Your debts'!$F$8&lt;&gt;"",'Your debts'!$F$10&lt;&gt;"",'Your debts'!$F$8&lt;'Your debts'!$F$10),R25,0)+IF(AND('Your debts'!$F$9&lt;&gt;"",'Your debts'!$F$10&lt;&gt;"",'Your debts'!$F$9&lt;'Your debts'!$F$10),W25,0)+IF(AND('Your debts'!$F$11&lt;&gt;"",'Your debts'!$F$10&lt;&gt;"",'Your debts'!$F$11&lt;'Your debts'!$F$10),AG25,0)+IF(AND('Your debts'!$F$12&lt;&gt;"",'Your debts'!$F$10&lt;&gt;"",'Your debts'!$F$12&lt;'Your debts'!$F$10),AL25,0)+IF(AND('Your debts'!$F$13&lt;&gt;"",'Your debts'!$F$10&lt;&gt;"",'Your debts'!$F$13&lt;'Your debts'!$F$10),AQ25,0)+IF(AND('Your debts'!$F$14&lt;&gt;"",'Your debts'!$F$10&lt;&gt;"",'Your debts'!$F$14&lt;'Your debts'!$F$10),AV25,0)+IF(AND('Your debts'!$F$15&lt;&gt;"",'Your debts'!$F$10&lt;&gt;"",'Your debts'!$F$15&lt;'Your debts'!$F$10),BA25,0)))))</f>
        <v/>
      </c>
      <c r="AD25" s="33">
        <f>AB25-AC25</f>
        <v/>
      </c>
      <c r="AE25" s="33">
        <f>IF(AI24&lt;=0,0,ROUND(AI24*(1+'Your debts'!$D$11/1200),2))</f>
        <v/>
      </c>
      <c r="AF25" s="33">
        <f>IF(AE25&lt;=0,0,MIN('Your debts'!$E$11,AE25))</f>
        <v/>
      </c>
      <c r="AG25" s="33">
        <f>AE25-AF25</f>
        <v/>
      </c>
      <c r="AH25" s="33">
        <f>IF('Your debts'!$F$11="",0,MIN(AG25,MAX(0,MAX(0,'Your debts'!$C$19-(G25+L25+Q25+V25+AA25+AF25+AK25+AP25+AU25+AZ25))-(IF(AND('Your debts'!$F$6&lt;&gt;"",'Your debts'!$F$11&lt;&gt;"",'Your debts'!$F$6&lt;'Your debts'!$F$11),H25,0)+IF(AND('Your debts'!$F$7&lt;&gt;"",'Your debts'!$F$11&lt;&gt;"",'Your debts'!$F$7&lt;'Your debts'!$F$11),M25,0)+IF(AND('Your debts'!$F$8&lt;&gt;"",'Your debts'!$F$11&lt;&gt;"",'Your debts'!$F$8&lt;'Your debts'!$F$11),R25,0)+IF(AND('Your debts'!$F$9&lt;&gt;"",'Your debts'!$F$11&lt;&gt;"",'Your debts'!$F$9&lt;'Your debts'!$F$11),W25,0)+IF(AND('Your debts'!$F$10&lt;&gt;"",'Your debts'!$F$11&lt;&gt;"",'Your debts'!$F$10&lt;'Your debts'!$F$11),AB25,0)+IF(AND('Your debts'!$F$12&lt;&gt;"",'Your debts'!$F$11&lt;&gt;"",'Your debts'!$F$12&lt;'Your debts'!$F$11),AL25,0)+IF(AND('Your debts'!$F$13&lt;&gt;"",'Your debts'!$F$11&lt;&gt;"",'Your debts'!$F$13&lt;'Your debts'!$F$11),AQ25,0)+IF(AND('Your debts'!$F$14&lt;&gt;"",'Your debts'!$F$11&lt;&gt;"",'Your debts'!$F$14&lt;'Your debts'!$F$11),AV25,0)+IF(AND('Your debts'!$F$15&lt;&gt;"",'Your debts'!$F$11&lt;&gt;"",'Your debts'!$F$15&lt;'Your debts'!$F$11),BA25,0)))))</f>
        <v/>
      </c>
      <c r="AI25" s="33">
        <f>AG25-AH25</f>
        <v/>
      </c>
      <c r="AJ25" s="33">
        <f>IF(AN24&lt;=0,0,ROUND(AN24*(1+'Your debts'!$D$12/1200),2))</f>
        <v/>
      </c>
      <c r="AK25" s="33">
        <f>IF(AJ25&lt;=0,0,MIN('Your debts'!$E$12,AJ25))</f>
        <v/>
      </c>
      <c r="AL25" s="33">
        <f>AJ25-AK25</f>
        <v/>
      </c>
      <c r="AM25" s="33">
        <f>IF('Your debts'!$F$12="",0,MIN(AL25,MAX(0,MAX(0,'Your debts'!$C$19-(G25+L25+Q25+V25+AA25+AF25+AK25+AP25+AU25+AZ25))-(IF(AND('Your debts'!$F$6&lt;&gt;"",'Your debts'!$F$12&lt;&gt;"",'Your debts'!$F$6&lt;'Your debts'!$F$12),H25,0)+IF(AND('Your debts'!$F$7&lt;&gt;"",'Your debts'!$F$12&lt;&gt;"",'Your debts'!$F$7&lt;'Your debts'!$F$12),M25,0)+IF(AND('Your debts'!$F$8&lt;&gt;"",'Your debts'!$F$12&lt;&gt;"",'Your debts'!$F$8&lt;'Your debts'!$F$12),R25,0)+IF(AND('Your debts'!$F$9&lt;&gt;"",'Your debts'!$F$12&lt;&gt;"",'Your debts'!$F$9&lt;'Your debts'!$F$12),W25,0)+IF(AND('Your debts'!$F$10&lt;&gt;"",'Your debts'!$F$12&lt;&gt;"",'Your debts'!$F$10&lt;'Your debts'!$F$12),AB25,0)+IF(AND('Your debts'!$F$11&lt;&gt;"",'Your debts'!$F$12&lt;&gt;"",'Your debts'!$F$11&lt;'Your debts'!$F$12),AG25,0)+IF(AND('Your debts'!$F$13&lt;&gt;"",'Your debts'!$F$12&lt;&gt;"",'Your debts'!$F$13&lt;'Your debts'!$F$12),AQ25,0)+IF(AND('Your debts'!$F$14&lt;&gt;"",'Your debts'!$F$12&lt;&gt;"",'Your debts'!$F$14&lt;'Your debts'!$F$12),AV25,0)+IF(AND('Your debts'!$F$15&lt;&gt;"",'Your debts'!$F$12&lt;&gt;"",'Your debts'!$F$15&lt;'Your debts'!$F$12),BA25,0)))))</f>
        <v/>
      </c>
      <c r="AN25" s="33">
        <f>AL25-AM25</f>
        <v/>
      </c>
      <c r="AO25" s="33">
        <f>IF(AS24&lt;=0,0,ROUND(AS24*(1+'Your debts'!$D$13/1200),2))</f>
        <v/>
      </c>
      <c r="AP25" s="33">
        <f>IF(AO25&lt;=0,0,MIN('Your debts'!$E$13,AO25))</f>
        <v/>
      </c>
      <c r="AQ25" s="33">
        <f>AO25-AP25</f>
        <v/>
      </c>
      <c r="AR25" s="33">
        <f>IF('Your debts'!$F$13="",0,MIN(AQ25,MAX(0,MAX(0,'Your debts'!$C$19-(G25+L25+Q25+V25+AA25+AF25+AK25+AP25+AU25+AZ25))-(IF(AND('Your debts'!$F$6&lt;&gt;"",'Your debts'!$F$13&lt;&gt;"",'Your debts'!$F$6&lt;'Your debts'!$F$13),H25,0)+IF(AND('Your debts'!$F$7&lt;&gt;"",'Your debts'!$F$13&lt;&gt;"",'Your debts'!$F$7&lt;'Your debts'!$F$13),M25,0)+IF(AND('Your debts'!$F$8&lt;&gt;"",'Your debts'!$F$13&lt;&gt;"",'Your debts'!$F$8&lt;'Your debts'!$F$13),R25,0)+IF(AND('Your debts'!$F$9&lt;&gt;"",'Your debts'!$F$13&lt;&gt;"",'Your debts'!$F$9&lt;'Your debts'!$F$13),W25,0)+IF(AND('Your debts'!$F$10&lt;&gt;"",'Your debts'!$F$13&lt;&gt;"",'Your debts'!$F$10&lt;'Your debts'!$F$13),AB25,0)+IF(AND('Your debts'!$F$11&lt;&gt;"",'Your debts'!$F$13&lt;&gt;"",'Your debts'!$F$11&lt;'Your debts'!$F$13),AG25,0)+IF(AND('Your debts'!$F$12&lt;&gt;"",'Your debts'!$F$13&lt;&gt;"",'Your debts'!$F$12&lt;'Your debts'!$F$13),AL25,0)+IF(AND('Your debts'!$F$14&lt;&gt;"",'Your debts'!$F$13&lt;&gt;"",'Your debts'!$F$14&lt;'Your debts'!$F$13),AV25,0)+IF(AND('Your debts'!$F$15&lt;&gt;"",'Your debts'!$F$13&lt;&gt;"",'Your debts'!$F$15&lt;'Your debts'!$F$13),BA25,0)))))</f>
        <v/>
      </c>
      <c r="AS25" s="33">
        <f>AQ25-AR25</f>
        <v/>
      </c>
      <c r="AT25" s="33">
        <f>IF(AX24&lt;=0,0,ROUND(AX24*(1+'Your debts'!$D$14/1200),2))</f>
        <v/>
      </c>
      <c r="AU25" s="33">
        <f>IF(AT25&lt;=0,0,MIN('Your debts'!$E$14,AT25))</f>
        <v/>
      </c>
      <c r="AV25" s="33">
        <f>AT25-AU25</f>
        <v/>
      </c>
      <c r="AW25" s="33">
        <f>IF('Your debts'!$F$14="",0,MIN(AV25,MAX(0,MAX(0,'Your debts'!$C$19-(G25+L25+Q25+V25+AA25+AF25+AK25+AP25+AU25+AZ25))-(IF(AND('Your debts'!$F$6&lt;&gt;"",'Your debts'!$F$14&lt;&gt;"",'Your debts'!$F$6&lt;'Your debts'!$F$14),H25,0)+IF(AND('Your debts'!$F$7&lt;&gt;"",'Your debts'!$F$14&lt;&gt;"",'Your debts'!$F$7&lt;'Your debts'!$F$14),M25,0)+IF(AND('Your debts'!$F$8&lt;&gt;"",'Your debts'!$F$14&lt;&gt;"",'Your debts'!$F$8&lt;'Your debts'!$F$14),R25,0)+IF(AND('Your debts'!$F$9&lt;&gt;"",'Your debts'!$F$14&lt;&gt;"",'Your debts'!$F$9&lt;'Your debts'!$F$14),W25,0)+IF(AND('Your debts'!$F$10&lt;&gt;"",'Your debts'!$F$14&lt;&gt;"",'Your debts'!$F$10&lt;'Your debts'!$F$14),AB25,0)+IF(AND('Your debts'!$F$11&lt;&gt;"",'Your debts'!$F$14&lt;&gt;"",'Your debts'!$F$11&lt;'Your debts'!$F$14),AG25,0)+IF(AND('Your debts'!$F$12&lt;&gt;"",'Your debts'!$F$14&lt;&gt;"",'Your debts'!$F$12&lt;'Your debts'!$F$14),AL25,0)+IF(AND('Your debts'!$F$13&lt;&gt;"",'Your debts'!$F$14&lt;&gt;"",'Your debts'!$F$13&lt;'Your debts'!$F$14),AQ25,0)+IF(AND('Your debts'!$F$15&lt;&gt;"",'Your debts'!$F$14&lt;&gt;"",'Your debts'!$F$15&lt;'Your debts'!$F$14),BA25,0)))))</f>
        <v/>
      </c>
      <c r="AX25" s="33">
        <f>AV25-AW25</f>
        <v/>
      </c>
      <c r="AY25" s="33">
        <f>IF(BC24&lt;=0,0,ROUND(BC24*(1+'Your debts'!$D$15/1200),2))</f>
        <v/>
      </c>
      <c r="AZ25" s="33">
        <f>IF(AY25&lt;=0,0,MIN('Your debts'!$E$15,AY25))</f>
        <v/>
      </c>
      <c r="BA25" s="33">
        <f>AY25-AZ25</f>
        <v/>
      </c>
      <c r="BB25" s="33">
        <f>IF('Your debts'!$F$15="",0,MIN(BA25,MAX(0,MAX(0,'Your debts'!$C$19-(G25+L25+Q25+V25+AA25+AF25+AK25+AP25+AU25+AZ25))-(IF(AND('Your debts'!$F$6&lt;&gt;"",'Your debts'!$F$15&lt;&gt;"",'Your debts'!$F$6&lt;'Your debts'!$F$15),H25,0)+IF(AND('Your debts'!$F$7&lt;&gt;"",'Your debts'!$F$15&lt;&gt;"",'Your debts'!$F$7&lt;'Your debts'!$F$15),M25,0)+IF(AND('Your debts'!$F$8&lt;&gt;"",'Your debts'!$F$15&lt;&gt;"",'Your debts'!$F$8&lt;'Your debts'!$F$15),R25,0)+IF(AND('Your debts'!$F$9&lt;&gt;"",'Your debts'!$F$15&lt;&gt;"",'Your debts'!$F$9&lt;'Your debts'!$F$15),W25,0)+IF(AND('Your debts'!$F$10&lt;&gt;"",'Your debts'!$F$15&lt;&gt;"",'Your debts'!$F$10&lt;'Your debts'!$F$15),AB25,0)+IF(AND('Your debts'!$F$11&lt;&gt;"",'Your debts'!$F$15&lt;&gt;"",'Your debts'!$F$11&lt;'Your debts'!$F$15),AG25,0)+IF(AND('Your debts'!$F$12&lt;&gt;"",'Your debts'!$F$15&lt;&gt;"",'Your debts'!$F$12&lt;'Your debts'!$F$15),AL25,0)+IF(AND('Your debts'!$F$13&lt;&gt;"",'Your debts'!$F$15&lt;&gt;"",'Your debts'!$F$13&lt;'Your debts'!$F$15),AQ25,0)+IF(AND('Your debts'!$F$14&lt;&gt;"",'Your debts'!$F$15&lt;&gt;"",'Your debts'!$F$14&lt;'Your debts'!$F$15),AV25,0)))))</f>
        <v/>
      </c>
      <c r="BC25" s="33">
        <f>BA25-BB25</f>
        <v/>
      </c>
    </row>
    <row r="26">
      <c r="A26" s="30" t="n">
        <v>11</v>
      </c>
      <c r="B26" s="31">
        <f>EDATE($B$15,11)</f>
        <v/>
      </c>
      <c r="C26" s="32">
        <f>IF(J25&lt;=0,0,F26-J25)+IF(O25&lt;=0,0,K26-O25)+IF(T25&lt;=0,0,P26-T25)+IF(Y25&lt;=0,0,U26-Y25)+IF(AD25&lt;=0,0,Z26-AD25)+IF(AI25&lt;=0,0,AE26-AI25)+IF(AN25&lt;=0,0,AJ26-AN25)+IF(AS25&lt;=0,0,AO26-AS25)+IF(AX25&lt;=0,0,AT26-AX25)+IF(BC25&lt;=0,0,AY26-BC25)</f>
        <v/>
      </c>
      <c r="D26" s="32">
        <f>G26+I26+L26+N26+Q26+S26+V26+X26+AA26+AC26+AF26+AH26+AK26+AM26+AP26+AR26+AU26+AW26+AZ26+BB26</f>
        <v/>
      </c>
      <c r="E26" s="32">
        <f>J26+O26+T26+Y26+AD26+AI26+AN26+AS26+AX26+BC26</f>
        <v/>
      </c>
      <c r="F26" s="33">
        <f>IF(J25&lt;=0,0,ROUND(J25*(1+'Your debts'!$D$6/1200),2))</f>
        <v/>
      </c>
      <c r="G26" s="33">
        <f>IF(F26&lt;=0,0,MIN('Your debts'!$E$6,F26))</f>
        <v/>
      </c>
      <c r="H26" s="33">
        <f>F26-G26</f>
        <v/>
      </c>
      <c r="I26" s="33">
        <f>IF('Your debts'!$F$6="",0,MIN(H26,MAX(0,MAX(0,'Your debts'!$C$19-(G26+L26+Q26+V26+AA26+AF26+AK26+AP26+AU26+AZ26))-(IF(AND('Your debts'!$F$7&lt;&gt;"",'Your debts'!$F$6&lt;&gt;"",'Your debts'!$F$7&lt;'Your debts'!$F$6),M26,0)+IF(AND('Your debts'!$F$8&lt;&gt;"",'Your debts'!$F$6&lt;&gt;"",'Your debts'!$F$8&lt;'Your debts'!$F$6),R26,0)+IF(AND('Your debts'!$F$9&lt;&gt;"",'Your debts'!$F$6&lt;&gt;"",'Your debts'!$F$9&lt;'Your debts'!$F$6),W26,0)+IF(AND('Your debts'!$F$10&lt;&gt;"",'Your debts'!$F$6&lt;&gt;"",'Your debts'!$F$10&lt;'Your debts'!$F$6),AB26,0)+IF(AND('Your debts'!$F$11&lt;&gt;"",'Your debts'!$F$6&lt;&gt;"",'Your debts'!$F$11&lt;'Your debts'!$F$6),AG26,0)+IF(AND('Your debts'!$F$12&lt;&gt;"",'Your debts'!$F$6&lt;&gt;"",'Your debts'!$F$12&lt;'Your debts'!$F$6),AL26,0)+IF(AND('Your debts'!$F$13&lt;&gt;"",'Your debts'!$F$6&lt;&gt;"",'Your debts'!$F$13&lt;'Your debts'!$F$6),AQ26,0)+IF(AND('Your debts'!$F$14&lt;&gt;"",'Your debts'!$F$6&lt;&gt;"",'Your debts'!$F$14&lt;'Your debts'!$F$6),AV26,0)+IF(AND('Your debts'!$F$15&lt;&gt;"",'Your debts'!$F$6&lt;&gt;"",'Your debts'!$F$15&lt;'Your debts'!$F$6),BA26,0)))))</f>
        <v/>
      </c>
      <c r="J26" s="33">
        <f>H26-I26</f>
        <v/>
      </c>
      <c r="K26" s="33">
        <f>IF(O25&lt;=0,0,ROUND(O25*(1+'Your debts'!$D$7/1200),2))</f>
        <v/>
      </c>
      <c r="L26" s="33">
        <f>IF(K26&lt;=0,0,MIN('Your debts'!$E$7,K26))</f>
        <v/>
      </c>
      <c r="M26" s="33">
        <f>K26-L26</f>
        <v/>
      </c>
      <c r="N26" s="33">
        <f>IF('Your debts'!$F$7="",0,MIN(M26,MAX(0,MAX(0,'Your debts'!$C$19-(G26+L26+Q26+V26+AA26+AF26+AK26+AP26+AU26+AZ26))-(IF(AND('Your debts'!$F$6&lt;&gt;"",'Your debts'!$F$7&lt;&gt;"",'Your debts'!$F$6&lt;'Your debts'!$F$7),H26,0)+IF(AND('Your debts'!$F$8&lt;&gt;"",'Your debts'!$F$7&lt;&gt;"",'Your debts'!$F$8&lt;'Your debts'!$F$7),R26,0)+IF(AND('Your debts'!$F$9&lt;&gt;"",'Your debts'!$F$7&lt;&gt;"",'Your debts'!$F$9&lt;'Your debts'!$F$7),W26,0)+IF(AND('Your debts'!$F$10&lt;&gt;"",'Your debts'!$F$7&lt;&gt;"",'Your debts'!$F$10&lt;'Your debts'!$F$7),AB26,0)+IF(AND('Your debts'!$F$11&lt;&gt;"",'Your debts'!$F$7&lt;&gt;"",'Your debts'!$F$11&lt;'Your debts'!$F$7),AG26,0)+IF(AND('Your debts'!$F$12&lt;&gt;"",'Your debts'!$F$7&lt;&gt;"",'Your debts'!$F$12&lt;'Your debts'!$F$7),AL26,0)+IF(AND('Your debts'!$F$13&lt;&gt;"",'Your debts'!$F$7&lt;&gt;"",'Your debts'!$F$13&lt;'Your debts'!$F$7),AQ26,0)+IF(AND('Your debts'!$F$14&lt;&gt;"",'Your debts'!$F$7&lt;&gt;"",'Your debts'!$F$14&lt;'Your debts'!$F$7),AV26,0)+IF(AND('Your debts'!$F$15&lt;&gt;"",'Your debts'!$F$7&lt;&gt;"",'Your debts'!$F$15&lt;'Your debts'!$F$7),BA26,0)))))</f>
        <v/>
      </c>
      <c r="O26" s="33">
        <f>M26-N26</f>
        <v/>
      </c>
      <c r="P26" s="33">
        <f>IF(T25&lt;=0,0,ROUND(T25*(1+'Your debts'!$D$8/1200),2))</f>
        <v/>
      </c>
      <c r="Q26" s="33">
        <f>IF(P26&lt;=0,0,MIN('Your debts'!$E$8,P26))</f>
        <v/>
      </c>
      <c r="R26" s="33">
        <f>P26-Q26</f>
        <v/>
      </c>
      <c r="S26" s="33">
        <f>IF('Your debts'!$F$8="",0,MIN(R26,MAX(0,MAX(0,'Your debts'!$C$19-(G26+L26+Q26+V26+AA26+AF26+AK26+AP26+AU26+AZ26))-(IF(AND('Your debts'!$F$6&lt;&gt;"",'Your debts'!$F$8&lt;&gt;"",'Your debts'!$F$6&lt;'Your debts'!$F$8),H26,0)+IF(AND('Your debts'!$F$7&lt;&gt;"",'Your debts'!$F$8&lt;&gt;"",'Your debts'!$F$7&lt;'Your debts'!$F$8),M26,0)+IF(AND('Your debts'!$F$9&lt;&gt;"",'Your debts'!$F$8&lt;&gt;"",'Your debts'!$F$9&lt;'Your debts'!$F$8),W26,0)+IF(AND('Your debts'!$F$10&lt;&gt;"",'Your debts'!$F$8&lt;&gt;"",'Your debts'!$F$10&lt;'Your debts'!$F$8),AB26,0)+IF(AND('Your debts'!$F$11&lt;&gt;"",'Your debts'!$F$8&lt;&gt;"",'Your debts'!$F$11&lt;'Your debts'!$F$8),AG26,0)+IF(AND('Your debts'!$F$12&lt;&gt;"",'Your debts'!$F$8&lt;&gt;"",'Your debts'!$F$12&lt;'Your debts'!$F$8),AL26,0)+IF(AND('Your debts'!$F$13&lt;&gt;"",'Your debts'!$F$8&lt;&gt;"",'Your debts'!$F$13&lt;'Your debts'!$F$8),AQ26,0)+IF(AND('Your debts'!$F$14&lt;&gt;"",'Your debts'!$F$8&lt;&gt;"",'Your debts'!$F$14&lt;'Your debts'!$F$8),AV26,0)+IF(AND('Your debts'!$F$15&lt;&gt;"",'Your debts'!$F$8&lt;&gt;"",'Your debts'!$F$15&lt;'Your debts'!$F$8),BA26,0)))))</f>
        <v/>
      </c>
      <c r="T26" s="33">
        <f>R26-S26</f>
        <v/>
      </c>
      <c r="U26" s="33">
        <f>IF(Y25&lt;=0,0,ROUND(Y25*(1+'Your debts'!$D$9/1200),2))</f>
        <v/>
      </c>
      <c r="V26" s="33">
        <f>IF(U26&lt;=0,0,MIN('Your debts'!$E$9,U26))</f>
        <v/>
      </c>
      <c r="W26" s="33">
        <f>U26-V26</f>
        <v/>
      </c>
      <c r="X26" s="33">
        <f>IF('Your debts'!$F$9="",0,MIN(W26,MAX(0,MAX(0,'Your debts'!$C$19-(G26+L26+Q26+V26+AA26+AF26+AK26+AP26+AU26+AZ26))-(IF(AND('Your debts'!$F$6&lt;&gt;"",'Your debts'!$F$9&lt;&gt;"",'Your debts'!$F$6&lt;'Your debts'!$F$9),H26,0)+IF(AND('Your debts'!$F$7&lt;&gt;"",'Your debts'!$F$9&lt;&gt;"",'Your debts'!$F$7&lt;'Your debts'!$F$9),M26,0)+IF(AND('Your debts'!$F$8&lt;&gt;"",'Your debts'!$F$9&lt;&gt;"",'Your debts'!$F$8&lt;'Your debts'!$F$9),R26,0)+IF(AND('Your debts'!$F$10&lt;&gt;"",'Your debts'!$F$9&lt;&gt;"",'Your debts'!$F$10&lt;'Your debts'!$F$9),AB26,0)+IF(AND('Your debts'!$F$11&lt;&gt;"",'Your debts'!$F$9&lt;&gt;"",'Your debts'!$F$11&lt;'Your debts'!$F$9),AG26,0)+IF(AND('Your debts'!$F$12&lt;&gt;"",'Your debts'!$F$9&lt;&gt;"",'Your debts'!$F$12&lt;'Your debts'!$F$9),AL26,0)+IF(AND('Your debts'!$F$13&lt;&gt;"",'Your debts'!$F$9&lt;&gt;"",'Your debts'!$F$13&lt;'Your debts'!$F$9),AQ26,0)+IF(AND('Your debts'!$F$14&lt;&gt;"",'Your debts'!$F$9&lt;&gt;"",'Your debts'!$F$14&lt;'Your debts'!$F$9),AV26,0)+IF(AND('Your debts'!$F$15&lt;&gt;"",'Your debts'!$F$9&lt;&gt;"",'Your debts'!$F$15&lt;'Your debts'!$F$9),BA26,0)))))</f>
        <v/>
      </c>
      <c r="Y26" s="33">
        <f>W26-X26</f>
        <v/>
      </c>
      <c r="Z26" s="33">
        <f>IF(AD25&lt;=0,0,ROUND(AD25*(1+'Your debts'!$D$10/1200),2))</f>
        <v/>
      </c>
      <c r="AA26" s="33">
        <f>IF(Z26&lt;=0,0,MIN('Your debts'!$E$10,Z26))</f>
        <v/>
      </c>
      <c r="AB26" s="33">
        <f>Z26-AA26</f>
        <v/>
      </c>
      <c r="AC26" s="33">
        <f>IF('Your debts'!$F$10="",0,MIN(AB26,MAX(0,MAX(0,'Your debts'!$C$19-(G26+L26+Q26+V26+AA26+AF26+AK26+AP26+AU26+AZ26))-(IF(AND('Your debts'!$F$6&lt;&gt;"",'Your debts'!$F$10&lt;&gt;"",'Your debts'!$F$6&lt;'Your debts'!$F$10),H26,0)+IF(AND('Your debts'!$F$7&lt;&gt;"",'Your debts'!$F$10&lt;&gt;"",'Your debts'!$F$7&lt;'Your debts'!$F$10),M26,0)+IF(AND('Your debts'!$F$8&lt;&gt;"",'Your debts'!$F$10&lt;&gt;"",'Your debts'!$F$8&lt;'Your debts'!$F$10),R26,0)+IF(AND('Your debts'!$F$9&lt;&gt;"",'Your debts'!$F$10&lt;&gt;"",'Your debts'!$F$9&lt;'Your debts'!$F$10),W26,0)+IF(AND('Your debts'!$F$11&lt;&gt;"",'Your debts'!$F$10&lt;&gt;"",'Your debts'!$F$11&lt;'Your debts'!$F$10),AG26,0)+IF(AND('Your debts'!$F$12&lt;&gt;"",'Your debts'!$F$10&lt;&gt;"",'Your debts'!$F$12&lt;'Your debts'!$F$10),AL26,0)+IF(AND('Your debts'!$F$13&lt;&gt;"",'Your debts'!$F$10&lt;&gt;"",'Your debts'!$F$13&lt;'Your debts'!$F$10),AQ26,0)+IF(AND('Your debts'!$F$14&lt;&gt;"",'Your debts'!$F$10&lt;&gt;"",'Your debts'!$F$14&lt;'Your debts'!$F$10),AV26,0)+IF(AND('Your debts'!$F$15&lt;&gt;"",'Your debts'!$F$10&lt;&gt;"",'Your debts'!$F$15&lt;'Your debts'!$F$10),BA26,0)))))</f>
        <v/>
      </c>
      <c r="AD26" s="33">
        <f>AB26-AC26</f>
        <v/>
      </c>
      <c r="AE26" s="33">
        <f>IF(AI25&lt;=0,0,ROUND(AI25*(1+'Your debts'!$D$11/1200),2))</f>
        <v/>
      </c>
      <c r="AF26" s="33">
        <f>IF(AE26&lt;=0,0,MIN('Your debts'!$E$11,AE26))</f>
        <v/>
      </c>
      <c r="AG26" s="33">
        <f>AE26-AF26</f>
        <v/>
      </c>
      <c r="AH26" s="33">
        <f>IF('Your debts'!$F$11="",0,MIN(AG26,MAX(0,MAX(0,'Your debts'!$C$19-(G26+L26+Q26+V26+AA26+AF26+AK26+AP26+AU26+AZ26))-(IF(AND('Your debts'!$F$6&lt;&gt;"",'Your debts'!$F$11&lt;&gt;"",'Your debts'!$F$6&lt;'Your debts'!$F$11),H26,0)+IF(AND('Your debts'!$F$7&lt;&gt;"",'Your debts'!$F$11&lt;&gt;"",'Your debts'!$F$7&lt;'Your debts'!$F$11),M26,0)+IF(AND('Your debts'!$F$8&lt;&gt;"",'Your debts'!$F$11&lt;&gt;"",'Your debts'!$F$8&lt;'Your debts'!$F$11),R26,0)+IF(AND('Your debts'!$F$9&lt;&gt;"",'Your debts'!$F$11&lt;&gt;"",'Your debts'!$F$9&lt;'Your debts'!$F$11),W26,0)+IF(AND('Your debts'!$F$10&lt;&gt;"",'Your debts'!$F$11&lt;&gt;"",'Your debts'!$F$10&lt;'Your debts'!$F$11),AB26,0)+IF(AND('Your debts'!$F$12&lt;&gt;"",'Your debts'!$F$11&lt;&gt;"",'Your debts'!$F$12&lt;'Your debts'!$F$11),AL26,0)+IF(AND('Your debts'!$F$13&lt;&gt;"",'Your debts'!$F$11&lt;&gt;"",'Your debts'!$F$13&lt;'Your debts'!$F$11),AQ26,0)+IF(AND('Your debts'!$F$14&lt;&gt;"",'Your debts'!$F$11&lt;&gt;"",'Your debts'!$F$14&lt;'Your debts'!$F$11),AV26,0)+IF(AND('Your debts'!$F$15&lt;&gt;"",'Your debts'!$F$11&lt;&gt;"",'Your debts'!$F$15&lt;'Your debts'!$F$11),BA26,0)))))</f>
        <v/>
      </c>
      <c r="AI26" s="33">
        <f>AG26-AH26</f>
        <v/>
      </c>
      <c r="AJ26" s="33">
        <f>IF(AN25&lt;=0,0,ROUND(AN25*(1+'Your debts'!$D$12/1200),2))</f>
        <v/>
      </c>
      <c r="AK26" s="33">
        <f>IF(AJ26&lt;=0,0,MIN('Your debts'!$E$12,AJ26))</f>
        <v/>
      </c>
      <c r="AL26" s="33">
        <f>AJ26-AK26</f>
        <v/>
      </c>
      <c r="AM26" s="33">
        <f>IF('Your debts'!$F$12="",0,MIN(AL26,MAX(0,MAX(0,'Your debts'!$C$19-(G26+L26+Q26+V26+AA26+AF26+AK26+AP26+AU26+AZ26))-(IF(AND('Your debts'!$F$6&lt;&gt;"",'Your debts'!$F$12&lt;&gt;"",'Your debts'!$F$6&lt;'Your debts'!$F$12),H26,0)+IF(AND('Your debts'!$F$7&lt;&gt;"",'Your debts'!$F$12&lt;&gt;"",'Your debts'!$F$7&lt;'Your debts'!$F$12),M26,0)+IF(AND('Your debts'!$F$8&lt;&gt;"",'Your debts'!$F$12&lt;&gt;"",'Your debts'!$F$8&lt;'Your debts'!$F$12),R26,0)+IF(AND('Your debts'!$F$9&lt;&gt;"",'Your debts'!$F$12&lt;&gt;"",'Your debts'!$F$9&lt;'Your debts'!$F$12),W26,0)+IF(AND('Your debts'!$F$10&lt;&gt;"",'Your debts'!$F$12&lt;&gt;"",'Your debts'!$F$10&lt;'Your debts'!$F$12),AB26,0)+IF(AND('Your debts'!$F$11&lt;&gt;"",'Your debts'!$F$12&lt;&gt;"",'Your debts'!$F$11&lt;'Your debts'!$F$12),AG26,0)+IF(AND('Your debts'!$F$13&lt;&gt;"",'Your debts'!$F$12&lt;&gt;"",'Your debts'!$F$13&lt;'Your debts'!$F$12),AQ26,0)+IF(AND('Your debts'!$F$14&lt;&gt;"",'Your debts'!$F$12&lt;&gt;"",'Your debts'!$F$14&lt;'Your debts'!$F$12),AV26,0)+IF(AND('Your debts'!$F$15&lt;&gt;"",'Your debts'!$F$12&lt;&gt;"",'Your debts'!$F$15&lt;'Your debts'!$F$12),BA26,0)))))</f>
        <v/>
      </c>
      <c r="AN26" s="33">
        <f>AL26-AM26</f>
        <v/>
      </c>
      <c r="AO26" s="33">
        <f>IF(AS25&lt;=0,0,ROUND(AS25*(1+'Your debts'!$D$13/1200),2))</f>
        <v/>
      </c>
      <c r="AP26" s="33">
        <f>IF(AO26&lt;=0,0,MIN('Your debts'!$E$13,AO26))</f>
        <v/>
      </c>
      <c r="AQ26" s="33">
        <f>AO26-AP26</f>
        <v/>
      </c>
      <c r="AR26" s="33">
        <f>IF('Your debts'!$F$13="",0,MIN(AQ26,MAX(0,MAX(0,'Your debts'!$C$19-(G26+L26+Q26+V26+AA26+AF26+AK26+AP26+AU26+AZ26))-(IF(AND('Your debts'!$F$6&lt;&gt;"",'Your debts'!$F$13&lt;&gt;"",'Your debts'!$F$6&lt;'Your debts'!$F$13),H26,0)+IF(AND('Your debts'!$F$7&lt;&gt;"",'Your debts'!$F$13&lt;&gt;"",'Your debts'!$F$7&lt;'Your debts'!$F$13),M26,0)+IF(AND('Your debts'!$F$8&lt;&gt;"",'Your debts'!$F$13&lt;&gt;"",'Your debts'!$F$8&lt;'Your debts'!$F$13),R26,0)+IF(AND('Your debts'!$F$9&lt;&gt;"",'Your debts'!$F$13&lt;&gt;"",'Your debts'!$F$9&lt;'Your debts'!$F$13),W26,0)+IF(AND('Your debts'!$F$10&lt;&gt;"",'Your debts'!$F$13&lt;&gt;"",'Your debts'!$F$10&lt;'Your debts'!$F$13),AB26,0)+IF(AND('Your debts'!$F$11&lt;&gt;"",'Your debts'!$F$13&lt;&gt;"",'Your debts'!$F$11&lt;'Your debts'!$F$13),AG26,0)+IF(AND('Your debts'!$F$12&lt;&gt;"",'Your debts'!$F$13&lt;&gt;"",'Your debts'!$F$12&lt;'Your debts'!$F$13),AL26,0)+IF(AND('Your debts'!$F$14&lt;&gt;"",'Your debts'!$F$13&lt;&gt;"",'Your debts'!$F$14&lt;'Your debts'!$F$13),AV26,0)+IF(AND('Your debts'!$F$15&lt;&gt;"",'Your debts'!$F$13&lt;&gt;"",'Your debts'!$F$15&lt;'Your debts'!$F$13),BA26,0)))))</f>
        <v/>
      </c>
      <c r="AS26" s="33">
        <f>AQ26-AR26</f>
        <v/>
      </c>
      <c r="AT26" s="33">
        <f>IF(AX25&lt;=0,0,ROUND(AX25*(1+'Your debts'!$D$14/1200),2))</f>
        <v/>
      </c>
      <c r="AU26" s="33">
        <f>IF(AT26&lt;=0,0,MIN('Your debts'!$E$14,AT26))</f>
        <v/>
      </c>
      <c r="AV26" s="33">
        <f>AT26-AU26</f>
        <v/>
      </c>
      <c r="AW26" s="33">
        <f>IF('Your debts'!$F$14="",0,MIN(AV26,MAX(0,MAX(0,'Your debts'!$C$19-(G26+L26+Q26+V26+AA26+AF26+AK26+AP26+AU26+AZ26))-(IF(AND('Your debts'!$F$6&lt;&gt;"",'Your debts'!$F$14&lt;&gt;"",'Your debts'!$F$6&lt;'Your debts'!$F$14),H26,0)+IF(AND('Your debts'!$F$7&lt;&gt;"",'Your debts'!$F$14&lt;&gt;"",'Your debts'!$F$7&lt;'Your debts'!$F$14),M26,0)+IF(AND('Your debts'!$F$8&lt;&gt;"",'Your debts'!$F$14&lt;&gt;"",'Your debts'!$F$8&lt;'Your debts'!$F$14),R26,0)+IF(AND('Your debts'!$F$9&lt;&gt;"",'Your debts'!$F$14&lt;&gt;"",'Your debts'!$F$9&lt;'Your debts'!$F$14),W26,0)+IF(AND('Your debts'!$F$10&lt;&gt;"",'Your debts'!$F$14&lt;&gt;"",'Your debts'!$F$10&lt;'Your debts'!$F$14),AB26,0)+IF(AND('Your debts'!$F$11&lt;&gt;"",'Your debts'!$F$14&lt;&gt;"",'Your debts'!$F$11&lt;'Your debts'!$F$14),AG26,0)+IF(AND('Your debts'!$F$12&lt;&gt;"",'Your debts'!$F$14&lt;&gt;"",'Your debts'!$F$12&lt;'Your debts'!$F$14),AL26,0)+IF(AND('Your debts'!$F$13&lt;&gt;"",'Your debts'!$F$14&lt;&gt;"",'Your debts'!$F$13&lt;'Your debts'!$F$14),AQ26,0)+IF(AND('Your debts'!$F$15&lt;&gt;"",'Your debts'!$F$14&lt;&gt;"",'Your debts'!$F$15&lt;'Your debts'!$F$14),BA26,0)))))</f>
        <v/>
      </c>
      <c r="AX26" s="33">
        <f>AV26-AW26</f>
        <v/>
      </c>
      <c r="AY26" s="33">
        <f>IF(BC25&lt;=0,0,ROUND(BC25*(1+'Your debts'!$D$15/1200),2))</f>
        <v/>
      </c>
      <c r="AZ26" s="33">
        <f>IF(AY26&lt;=0,0,MIN('Your debts'!$E$15,AY26))</f>
        <v/>
      </c>
      <c r="BA26" s="33">
        <f>AY26-AZ26</f>
        <v/>
      </c>
      <c r="BB26" s="33">
        <f>IF('Your debts'!$F$15="",0,MIN(BA26,MAX(0,MAX(0,'Your debts'!$C$19-(G26+L26+Q26+V26+AA26+AF26+AK26+AP26+AU26+AZ26))-(IF(AND('Your debts'!$F$6&lt;&gt;"",'Your debts'!$F$15&lt;&gt;"",'Your debts'!$F$6&lt;'Your debts'!$F$15),H26,0)+IF(AND('Your debts'!$F$7&lt;&gt;"",'Your debts'!$F$15&lt;&gt;"",'Your debts'!$F$7&lt;'Your debts'!$F$15),M26,0)+IF(AND('Your debts'!$F$8&lt;&gt;"",'Your debts'!$F$15&lt;&gt;"",'Your debts'!$F$8&lt;'Your debts'!$F$15),R26,0)+IF(AND('Your debts'!$F$9&lt;&gt;"",'Your debts'!$F$15&lt;&gt;"",'Your debts'!$F$9&lt;'Your debts'!$F$15),W26,0)+IF(AND('Your debts'!$F$10&lt;&gt;"",'Your debts'!$F$15&lt;&gt;"",'Your debts'!$F$10&lt;'Your debts'!$F$15),AB26,0)+IF(AND('Your debts'!$F$11&lt;&gt;"",'Your debts'!$F$15&lt;&gt;"",'Your debts'!$F$11&lt;'Your debts'!$F$15),AG26,0)+IF(AND('Your debts'!$F$12&lt;&gt;"",'Your debts'!$F$15&lt;&gt;"",'Your debts'!$F$12&lt;'Your debts'!$F$15),AL26,0)+IF(AND('Your debts'!$F$13&lt;&gt;"",'Your debts'!$F$15&lt;&gt;"",'Your debts'!$F$13&lt;'Your debts'!$F$15),AQ26,0)+IF(AND('Your debts'!$F$14&lt;&gt;"",'Your debts'!$F$15&lt;&gt;"",'Your debts'!$F$14&lt;'Your debts'!$F$15),AV26,0)))))</f>
        <v/>
      </c>
      <c r="BC26" s="33">
        <f>BA26-BB26</f>
        <v/>
      </c>
    </row>
    <row r="27">
      <c r="A27" s="30" t="n">
        <v>12</v>
      </c>
      <c r="B27" s="31">
        <f>EDATE($B$15,12)</f>
        <v/>
      </c>
      <c r="C27" s="32">
        <f>IF(J26&lt;=0,0,F27-J26)+IF(O26&lt;=0,0,K27-O26)+IF(T26&lt;=0,0,P27-T26)+IF(Y26&lt;=0,0,U27-Y26)+IF(AD26&lt;=0,0,Z27-AD26)+IF(AI26&lt;=0,0,AE27-AI26)+IF(AN26&lt;=0,0,AJ27-AN26)+IF(AS26&lt;=0,0,AO27-AS26)+IF(AX26&lt;=0,0,AT27-AX26)+IF(BC26&lt;=0,0,AY27-BC26)</f>
        <v/>
      </c>
      <c r="D27" s="32">
        <f>G27+I27+L27+N27+Q27+S27+V27+X27+AA27+AC27+AF27+AH27+AK27+AM27+AP27+AR27+AU27+AW27+AZ27+BB27</f>
        <v/>
      </c>
      <c r="E27" s="32">
        <f>J27+O27+T27+Y27+AD27+AI27+AN27+AS27+AX27+BC27</f>
        <v/>
      </c>
      <c r="F27" s="33">
        <f>IF(J26&lt;=0,0,ROUND(J26*(1+'Your debts'!$D$6/1200),2))</f>
        <v/>
      </c>
      <c r="G27" s="33">
        <f>IF(F27&lt;=0,0,MIN('Your debts'!$E$6,F27))</f>
        <v/>
      </c>
      <c r="H27" s="33">
        <f>F27-G27</f>
        <v/>
      </c>
      <c r="I27" s="33">
        <f>IF('Your debts'!$F$6="",0,MIN(H27,MAX(0,MAX(0,'Your debts'!$C$19-(G27+L27+Q27+V27+AA27+AF27+AK27+AP27+AU27+AZ27))-(IF(AND('Your debts'!$F$7&lt;&gt;"",'Your debts'!$F$6&lt;&gt;"",'Your debts'!$F$7&lt;'Your debts'!$F$6),M27,0)+IF(AND('Your debts'!$F$8&lt;&gt;"",'Your debts'!$F$6&lt;&gt;"",'Your debts'!$F$8&lt;'Your debts'!$F$6),R27,0)+IF(AND('Your debts'!$F$9&lt;&gt;"",'Your debts'!$F$6&lt;&gt;"",'Your debts'!$F$9&lt;'Your debts'!$F$6),W27,0)+IF(AND('Your debts'!$F$10&lt;&gt;"",'Your debts'!$F$6&lt;&gt;"",'Your debts'!$F$10&lt;'Your debts'!$F$6),AB27,0)+IF(AND('Your debts'!$F$11&lt;&gt;"",'Your debts'!$F$6&lt;&gt;"",'Your debts'!$F$11&lt;'Your debts'!$F$6),AG27,0)+IF(AND('Your debts'!$F$12&lt;&gt;"",'Your debts'!$F$6&lt;&gt;"",'Your debts'!$F$12&lt;'Your debts'!$F$6),AL27,0)+IF(AND('Your debts'!$F$13&lt;&gt;"",'Your debts'!$F$6&lt;&gt;"",'Your debts'!$F$13&lt;'Your debts'!$F$6),AQ27,0)+IF(AND('Your debts'!$F$14&lt;&gt;"",'Your debts'!$F$6&lt;&gt;"",'Your debts'!$F$14&lt;'Your debts'!$F$6),AV27,0)+IF(AND('Your debts'!$F$15&lt;&gt;"",'Your debts'!$F$6&lt;&gt;"",'Your debts'!$F$15&lt;'Your debts'!$F$6),BA27,0)))))</f>
        <v/>
      </c>
      <c r="J27" s="33">
        <f>H27-I27</f>
        <v/>
      </c>
      <c r="K27" s="33">
        <f>IF(O26&lt;=0,0,ROUND(O26*(1+'Your debts'!$D$7/1200),2))</f>
        <v/>
      </c>
      <c r="L27" s="33">
        <f>IF(K27&lt;=0,0,MIN('Your debts'!$E$7,K27))</f>
        <v/>
      </c>
      <c r="M27" s="33">
        <f>K27-L27</f>
        <v/>
      </c>
      <c r="N27" s="33">
        <f>IF('Your debts'!$F$7="",0,MIN(M27,MAX(0,MAX(0,'Your debts'!$C$19-(G27+L27+Q27+V27+AA27+AF27+AK27+AP27+AU27+AZ27))-(IF(AND('Your debts'!$F$6&lt;&gt;"",'Your debts'!$F$7&lt;&gt;"",'Your debts'!$F$6&lt;'Your debts'!$F$7),H27,0)+IF(AND('Your debts'!$F$8&lt;&gt;"",'Your debts'!$F$7&lt;&gt;"",'Your debts'!$F$8&lt;'Your debts'!$F$7),R27,0)+IF(AND('Your debts'!$F$9&lt;&gt;"",'Your debts'!$F$7&lt;&gt;"",'Your debts'!$F$9&lt;'Your debts'!$F$7),W27,0)+IF(AND('Your debts'!$F$10&lt;&gt;"",'Your debts'!$F$7&lt;&gt;"",'Your debts'!$F$10&lt;'Your debts'!$F$7),AB27,0)+IF(AND('Your debts'!$F$11&lt;&gt;"",'Your debts'!$F$7&lt;&gt;"",'Your debts'!$F$11&lt;'Your debts'!$F$7),AG27,0)+IF(AND('Your debts'!$F$12&lt;&gt;"",'Your debts'!$F$7&lt;&gt;"",'Your debts'!$F$12&lt;'Your debts'!$F$7),AL27,0)+IF(AND('Your debts'!$F$13&lt;&gt;"",'Your debts'!$F$7&lt;&gt;"",'Your debts'!$F$13&lt;'Your debts'!$F$7),AQ27,0)+IF(AND('Your debts'!$F$14&lt;&gt;"",'Your debts'!$F$7&lt;&gt;"",'Your debts'!$F$14&lt;'Your debts'!$F$7),AV27,0)+IF(AND('Your debts'!$F$15&lt;&gt;"",'Your debts'!$F$7&lt;&gt;"",'Your debts'!$F$15&lt;'Your debts'!$F$7),BA27,0)))))</f>
        <v/>
      </c>
      <c r="O27" s="33">
        <f>M27-N27</f>
        <v/>
      </c>
      <c r="P27" s="33">
        <f>IF(T26&lt;=0,0,ROUND(T26*(1+'Your debts'!$D$8/1200),2))</f>
        <v/>
      </c>
      <c r="Q27" s="33">
        <f>IF(P27&lt;=0,0,MIN('Your debts'!$E$8,P27))</f>
        <v/>
      </c>
      <c r="R27" s="33">
        <f>P27-Q27</f>
        <v/>
      </c>
      <c r="S27" s="33">
        <f>IF('Your debts'!$F$8="",0,MIN(R27,MAX(0,MAX(0,'Your debts'!$C$19-(G27+L27+Q27+V27+AA27+AF27+AK27+AP27+AU27+AZ27))-(IF(AND('Your debts'!$F$6&lt;&gt;"",'Your debts'!$F$8&lt;&gt;"",'Your debts'!$F$6&lt;'Your debts'!$F$8),H27,0)+IF(AND('Your debts'!$F$7&lt;&gt;"",'Your debts'!$F$8&lt;&gt;"",'Your debts'!$F$7&lt;'Your debts'!$F$8),M27,0)+IF(AND('Your debts'!$F$9&lt;&gt;"",'Your debts'!$F$8&lt;&gt;"",'Your debts'!$F$9&lt;'Your debts'!$F$8),W27,0)+IF(AND('Your debts'!$F$10&lt;&gt;"",'Your debts'!$F$8&lt;&gt;"",'Your debts'!$F$10&lt;'Your debts'!$F$8),AB27,0)+IF(AND('Your debts'!$F$11&lt;&gt;"",'Your debts'!$F$8&lt;&gt;"",'Your debts'!$F$11&lt;'Your debts'!$F$8),AG27,0)+IF(AND('Your debts'!$F$12&lt;&gt;"",'Your debts'!$F$8&lt;&gt;"",'Your debts'!$F$12&lt;'Your debts'!$F$8),AL27,0)+IF(AND('Your debts'!$F$13&lt;&gt;"",'Your debts'!$F$8&lt;&gt;"",'Your debts'!$F$13&lt;'Your debts'!$F$8),AQ27,0)+IF(AND('Your debts'!$F$14&lt;&gt;"",'Your debts'!$F$8&lt;&gt;"",'Your debts'!$F$14&lt;'Your debts'!$F$8),AV27,0)+IF(AND('Your debts'!$F$15&lt;&gt;"",'Your debts'!$F$8&lt;&gt;"",'Your debts'!$F$15&lt;'Your debts'!$F$8),BA27,0)))))</f>
        <v/>
      </c>
      <c r="T27" s="33">
        <f>R27-S27</f>
        <v/>
      </c>
      <c r="U27" s="33">
        <f>IF(Y26&lt;=0,0,ROUND(Y26*(1+'Your debts'!$D$9/1200),2))</f>
        <v/>
      </c>
      <c r="V27" s="33">
        <f>IF(U27&lt;=0,0,MIN('Your debts'!$E$9,U27))</f>
        <v/>
      </c>
      <c r="W27" s="33">
        <f>U27-V27</f>
        <v/>
      </c>
      <c r="X27" s="33">
        <f>IF('Your debts'!$F$9="",0,MIN(W27,MAX(0,MAX(0,'Your debts'!$C$19-(G27+L27+Q27+V27+AA27+AF27+AK27+AP27+AU27+AZ27))-(IF(AND('Your debts'!$F$6&lt;&gt;"",'Your debts'!$F$9&lt;&gt;"",'Your debts'!$F$6&lt;'Your debts'!$F$9),H27,0)+IF(AND('Your debts'!$F$7&lt;&gt;"",'Your debts'!$F$9&lt;&gt;"",'Your debts'!$F$7&lt;'Your debts'!$F$9),M27,0)+IF(AND('Your debts'!$F$8&lt;&gt;"",'Your debts'!$F$9&lt;&gt;"",'Your debts'!$F$8&lt;'Your debts'!$F$9),R27,0)+IF(AND('Your debts'!$F$10&lt;&gt;"",'Your debts'!$F$9&lt;&gt;"",'Your debts'!$F$10&lt;'Your debts'!$F$9),AB27,0)+IF(AND('Your debts'!$F$11&lt;&gt;"",'Your debts'!$F$9&lt;&gt;"",'Your debts'!$F$11&lt;'Your debts'!$F$9),AG27,0)+IF(AND('Your debts'!$F$12&lt;&gt;"",'Your debts'!$F$9&lt;&gt;"",'Your debts'!$F$12&lt;'Your debts'!$F$9),AL27,0)+IF(AND('Your debts'!$F$13&lt;&gt;"",'Your debts'!$F$9&lt;&gt;"",'Your debts'!$F$13&lt;'Your debts'!$F$9),AQ27,0)+IF(AND('Your debts'!$F$14&lt;&gt;"",'Your debts'!$F$9&lt;&gt;"",'Your debts'!$F$14&lt;'Your debts'!$F$9),AV27,0)+IF(AND('Your debts'!$F$15&lt;&gt;"",'Your debts'!$F$9&lt;&gt;"",'Your debts'!$F$15&lt;'Your debts'!$F$9),BA27,0)))))</f>
        <v/>
      </c>
      <c r="Y27" s="33">
        <f>W27-X27</f>
        <v/>
      </c>
      <c r="Z27" s="33">
        <f>IF(AD26&lt;=0,0,ROUND(AD26*(1+'Your debts'!$D$10/1200),2))</f>
        <v/>
      </c>
      <c r="AA27" s="33">
        <f>IF(Z27&lt;=0,0,MIN('Your debts'!$E$10,Z27))</f>
        <v/>
      </c>
      <c r="AB27" s="33">
        <f>Z27-AA27</f>
        <v/>
      </c>
      <c r="AC27" s="33">
        <f>IF('Your debts'!$F$10="",0,MIN(AB27,MAX(0,MAX(0,'Your debts'!$C$19-(G27+L27+Q27+V27+AA27+AF27+AK27+AP27+AU27+AZ27))-(IF(AND('Your debts'!$F$6&lt;&gt;"",'Your debts'!$F$10&lt;&gt;"",'Your debts'!$F$6&lt;'Your debts'!$F$10),H27,0)+IF(AND('Your debts'!$F$7&lt;&gt;"",'Your debts'!$F$10&lt;&gt;"",'Your debts'!$F$7&lt;'Your debts'!$F$10),M27,0)+IF(AND('Your debts'!$F$8&lt;&gt;"",'Your debts'!$F$10&lt;&gt;"",'Your debts'!$F$8&lt;'Your debts'!$F$10),R27,0)+IF(AND('Your debts'!$F$9&lt;&gt;"",'Your debts'!$F$10&lt;&gt;"",'Your debts'!$F$9&lt;'Your debts'!$F$10),W27,0)+IF(AND('Your debts'!$F$11&lt;&gt;"",'Your debts'!$F$10&lt;&gt;"",'Your debts'!$F$11&lt;'Your debts'!$F$10),AG27,0)+IF(AND('Your debts'!$F$12&lt;&gt;"",'Your debts'!$F$10&lt;&gt;"",'Your debts'!$F$12&lt;'Your debts'!$F$10),AL27,0)+IF(AND('Your debts'!$F$13&lt;&gt;"",'Your debts'!$F$10&lt;&gt;"",'Your debts'!$F$13&lt;'Your debts'!$F$10),AQ27,0)+IF(AND('Your debts'!$F$14&lt;&gt;"",'Your debts'!$F$10&lt;&gt;"",'Your debts'!$F$14&lt;'Your debts'!$F$10),AV27,0)+IF(AND('Your debts'!$F$15&lt;&gt;"",'Your debts'!$F$10&lt;&gt;"",'Your debts'!$F$15&lt;'Your debts'!$F$10),BA27,0)))))</f>
        <v/>
      </c>
      <c r="AD27" s="33">
        <f>AB27-AC27</f>
        <v/>
      </c>
      <c r="AE27" s="33">
        <f>IF(AI26&lt;=0,0,ROUND(AI26*(1+'Your debts'!$D$11/1200),2))</f>
        <v/>
      </c>
      <c r="AF27" s="33">
        <f>IF(AE27&lt;=0,0,MIN('Your debts'!$E$11,AE27))</f>
        <v/>
      </c>
      <c r="AG27" s="33">
        <f>AE27-AF27</f>
        <v/>
      </c>
      <c r="AH27" s="33">
        <f>IF('Your debts'!$F$11="",0,MIN(AG27,MAX(0,MAX(0,'Your debts'!$C$19-(G27+L27+Q27+V27+AA27+AF27+AK27+AP27+AU27+AZ27))-(IF(AND('Your debts'!$F$6&lt;&gt;"",'Your debts'!$F$11&lt;&gt;"",'Your debts'!$F$6&lt;'Your debts'!$F$11),H27,0)+IF(AND('Your debts'!$F$7&lt;&gt;"",'Your debts'!$F$11&lt;&gt;"",'Your debts'!$F$7&lt;'Your debts'!$F$11),M27,0)+IF(AND('Your debts'!$F$8&lt;&gt;"",'Your debts'!$F$11&lt;&gt;"",'Your debts'!$F$8&lt;'Your debts'!$F$11),R27,0)+IF(AND('Your debts'!$F$9&lt;&gt;"",'Your debts'!$F$11&lt;&gt;"",'Your debts'!$F$9&lt;'Your debts'!$F$11),W27,0)+IF(AND('Your debts'!$F$10&lt;&gt;"",'Your debts'!$F$11&lt;&gt;"",'Your debts'!$F$10&lt;'Your debts'!$F$11),AB27,0)+IF(AND('Your debts'!$F$12&lt;&gt;"",'Your debts'!$F$11&lt;&gt;"",'Your debts'!$F$12&lt;'Your debts'!$F$11),AL27,0)+IF(AND('Your debts'!$F$13&lt;&gt;"",'Your debts'!$F$11&lt;&gt;"",'Your debts'!$F$13&lt;'Your debts'!$F$11),AQ27,0)+IF(AND('Your debts'!$F$14&lt;&gt;"",'Your debts'!$F$11&lt;&gt;"",'Your debts'!$F$14&lt;'Your debts'!$F$11),AV27,0)+IF(AND('Your debts'!$F$15&lt;&gt;"",'Your debts'!$F$11&lt;&gt;"",'Your debts'!$F$15&lt;'Your debts'!$F$11),BA27,0)))))</f>
        <v/>
      </c>
      <c r="AI27" s="33">
        <f>AG27-AH27</f>
        <v/>
      </c>
      <c r="AJ27" s="33">
        <f>IF(AN26&lt;=0,0,ROUND(AN26*(1+'Your debts'!$D$12/1200),2))</f>
        <v/>
      </c>
      <c r="AK27" s="33">
        <f>IF(AJ27&lt;=0,0,MIN('Your debts'!$E$12,AJ27))</f>
        <v/>
      </c>
      <c r="AL27" s="33">
        <f>AJ27-AK27</f>
        <v/>
      </c>
      <c r="AM27" s="33">
        <f>IF('Your debts'!$F$12="",0,MIN(AL27,MAX(0,MAX(0,'Your debts'!$C$19-(G27+L27+Q27+V27+AA27+AF27+AK27+AP27+AU27+AZ27))-(IF(AND('Your debts'!$F$6&lt;&gt;"",'Your debts'!$F$12&lt;&gt;"",'Your debts'!$F$6&lt;'Your debts'!$F$12),H27,0)+IF(AND('Your debts'!$F$7&lt;&gt;"",'Your debts'!$F$12&lt;&gt;"",'Your debts'!$F$7&lt;'Your debts'!$F$12),M27,0)+IF(AND('Your debts'!$F$8&lt;&gt;"",'Your debts'!$F$12&lt;&gt;"",'Your debts'!$F$8&lt;'Your debts'!$F$12),R27,0)+IF(AND('Your debts'!$F$9&lt;&gt;"",'Your debts'!$F$12&lt;&gt;"",'Your debts'!$F$9&lt;'Your debts'!$F$12),W27,0)+IF(AND('Your debts'!$F$10&lt;&gt;"",'Your debts'!$F$12&lt;&gt;"",'Your debts'!$F$10&lt;'Your debts'!$F$12),AB27,0)+IF(AND('Your debts'!$F$11&lt;&gt;"",'Your debts'!$F$12&lt;&gt;"",'Your debts'!$F$11&lt;'Your debts'!$F$12),AG27,0)+IF(AND('Your debts'!$F$13&lt;&gt;"",'Your debts'!$F$12&lt;&gt;"",'Your debts'!$F$13&lt;'Your debts'!$F$12),AQ27,0)+IF(AND('Your debts'!$F$14&lt;&gt;"",'Your debts'!$F$12&lt;&gt;"",'Your debts'!$F$14&lt;'Your debts'!$F$12),AV27,0)+IF(AND('Your debts'!$F$15&lt;&gt;"",'Your debts'!$F$12&lt;&gt;"",'Your debts'!$F$15&lt;'Your debts'!$F$12),BA27,0)))))</f>
        <v/>
      </c>
      <c r="AN27" s="33">
        <f>AL27-AM27</f>
        <v/>
      </c>
      <c r="AO27" s="33">
        <f>IF(AS26&lt;=0,0,ROUND(AS26*(1+'Your debts'!$D$13/1200),2))</f>
        <v/>
      </c>
      <c r="AP27" s="33">
        <f>IF(AO27&lt;=0,0,MIN('Your debts'!$E$13,AO27))</f>
        <v/>
      </c>
      <c r="AQ27" s="33">
        <f>AO27-AP27</f>
        <v/>
      </c>
      <c r="AR27" s="33">
        <f>IF('Your debts'!$F$13="",0,MIN(AQ27,MAX(0,MAX(0,'Your debts'!$C$19-(G27+L27+Q27+V27+AA27+AF27+AK27+AP27+AU27+AZ27))-(IF(AND('Your debts'!$F$6&lt;&gt;"",'Your debts'!$F$13&lt;&gt;"",'Your debts'!$F$6&lt;'Your debts'!$F$13),H27,0)+IF(AND('Your debts'!$F$7&lt;&gt;"",'Your debts'!$F$13&lt;&gt;"",'Your debts'!$F$7&lt;'Your debts'!$F$13),M27,0)+IF(AND('Your debts'!$F$8&lt;&gt;"",'Your debts'!$F$13&lt;&gt;"",'Your debts'!$F$8&lt;'Your debts'!$F$13),R27,0)+IF(AND('Your debts'!$F$9&lt;&gt;"",'Your debts'!$F$13&lt;&gt;"",'Your debts'!$F$9&lt;'Your debts'!$F$13),W27,0)+IF(AND('Your debts'!$F$10&lt;&gt;"",'Your debts'!$F$13&lt;&gt;"",'Your debts'!$F$10&lt;'Your debts'!$F$13),AB27,0)+IF(AND('Your debts'!$F$11&lt;&gt;"",'Your debts'!$F$13&lt;&gt;"",'Your debts'!$F$11&lt;'Your debts'!$F$13),AG27,0)+IF(AND('Your debts'!$F$12&lt;&gt;"",'Your debts'!$F$13&lt;&gt;"",'Your debts'!$F$12&lt;'Your debts'!$F$13),AL27,0)+IF(AND('Your debts'!$F$14&lt;&gt;"",'Your debts'!$F$13&lt;&gt;"",'Your debts'!$F$14&lt;'Your debts'!$F$13),AV27,0)+IF(AND('Your debts'!$F$15&lt;&gt;"",'Your debts'!$F$13&lt;&gt;"",'Your debts'!$F$15&lt;'Your debts'!$F$13),BA27,0)))))</f>
        <v/>
      </c>
      <c r="AS27" s="33">
        <f>AQ27-AR27</f>
        <v/>
      </c>
      <c r="AT27" s="33">
        <f>IF(AX26&lt;=0,0,ROUND(AX26*(1+'Your debts'!$D$14/1200),2))</f>
        <v/>
      </c>
      <c r="AU27" s="33">
        <f>IF(AT27&lt;=0,0,MIN('Your debts'!$E$14,AT27))</f>
        <v/>
      </c>
      <c r="AV27" s="33">
        <f>AT27-AU27</f>
        <v/>
      </c>
      <c r="AW27" s="33">
        <f>IF('Your debts'!$F$14="",0,MIN(AV27,MAX(0,MAX(0,'Your debts'!$C$19-(G27+L27+Q27+V27+AA27+AF27+AK27+AP27+AU27+AZ27))-(IF(AND('Your debts'!$F$6&lt;&gt;"",'Your debts'!$F$14&lt;&gt;"",'Your debts'!$F$6&lt;'Your debts'!$F$14),H27,0)+IF(AND('Your debts'!$F$7&lt;&gt;"",'Your debts'!$F$14&lt;&gt;"",'Your debts'!$F$7&lt;'Your debts'!$F$14),M27,0)+IF(AND('Your debts'!$F$8&lt;&gt;"",'Your debts'!$F$14&lt;&gt;"",'Your debts'!$F$8&lt;'Your debts'!$F$14),R27,0)+IF(AND('Your debts'!$F$9&lt;&gt;"",'Your debts'!$F$14&lt;&gt;"",'Your debts'!$F$9&lt;'Your debts'!$F$14),W27,0)+IF(AND('Your debts'!$F$10&lt;&gt;"",'Your debts'!$F$14&lt;&gt;"",'Your debts'!$F$10&lt;'Your debts'!$F$14),AB27,0)+IF(AND('Your debts'!$F$11&lt;&gt;"",'Your debts'!$F$14&lt;&gt;"",'Your debts'!$F$11&lt;'Your debts'!$F$14),AG27,0)+IF(AND('Your debts'!$F$12&lt;&gt;"",'Your debts'!$F$14&lt;&gt;"",'Your debts'!$F$12&lt;'Your debts'!$F$14),AL27,0)+IF(AND('Your debts'!$F$13&lt;&gt;"",'Your debts'!$F$14&lt;&gt;"",'Your debts'!$F$13&lt;'Your debts'!$F$14),AQ27,0)+IF(AND('Your debts'!$F$15&lt;&gt;"",'Your debts'!$F$14&lt;&gt;"",'Your debts'!$F$15&lt;'Your debts'!$F$14),BA27,0)))))</f>
        <v/>
      </c>
      <c r="AX27" s="33">
        <f>AV27-AW27</f>
        <v/>
      </c>
      <c r="AY27" s="33">
        <f>IF(BC26&lt;=0,0,ROUND(BC26*(1+'Your debts'!$D$15/1200),2))</f>
        <v/>
      </c>
      <c r="AZ27" s="33">
        <f>IF(AY27&lt;=0,0,MIN('Your debts'!$E$15,AY27))</f>
        <v/>
      </c>
      <c r="BA27" s="33">
        <f>AY27-AZ27</f>
        <v/>
      </c>
      <c r="BB27" s="33">
        <f>IF('Your debts'!$F$15="",0,MIN(BA27,MAX(0,MAX(0,'Your debts'!$C$19-(G27+L27+Q27+V27+AA27+AF27+AK27+AP27+AU27+AZ27))-(IF(AND('Your debts'!$F$6&lt;&gt;"",'Your debts'!$F$15&lt;&gt;"",'Your debts'!$F$6&lt;'Your debts'!$F$15),H27,0)+IF(AND('Your debts'!$F$7&lt;&gt;"",'Your debts'!$F$15&lt;&gt;"",'Your debts'!$F$7&lt;'Your debts'!$F$15),M27,0)+IF(AND('Your debts'!$F$8&lt;&gt;"",'Your debts'!$F$15&lt;&gt;"",'Your debts'!$F$8&lt;'Your debts'!$F$15),R27,0)+IF(AND('Your debts'!$F$9&lt;&gt;"",'Your debts'!$F$15&lt;&gt;"",'Your debts'!$F$9&lt;'Your debts'!$F$15),W27,0)+IF(AND('Your debts'!$F$10&lt;&gt;"",'Your debts'!$F$15&lt;&gt;"",'Your debts'!$F$10&lt;'Your debts'!$F$15),AB27,0)+IF(AND('Your debts'!$F$11&lt;&gt;"",'Your debts'!$F$15&lt;&gt;"",'Your debts'!$F$11&lt;'Your debts'!$F$15),AG27,0)+IF(AND('Your debts'!$F$12&lt;&gt;"",'Your debts'!$F$15&lt;&gt;"",'Your debts'!$F$12&lt;'Your debts'!$F$15),AL27,0)+IF(AND('Your debts'!$F$13&lt;&gt;"",'Your debts'!$F$15&lt;&gt;"",'Your debts'!$F$13&lt;'Your debts'!$F$15),AQ27,0)+IF(AND('Your debts'!$F$14&lt;&gt;"",'Your debts'!$F$15&lt;&gt;"",'Your debts'!$F$14&lt;'Your debts'!$F$15),AV27,0)))))</f>
        <v/>
      </c>
      <c r="BC27" s="33">
        <f>BA27-BB27</f>
        <v/>
      </c>
    </row>
    <row r="28">
      <c r="A28" s="30" t="n">
        <v>13</v>
      </c>
      <c r="B28" s="31">
        <f>EDATE($B$15,13)</f>
        <v/>
      </c>
      <c r="C28" s="32">
        <f>IF(J27&lt;=0,0,F28-J27)+IF(O27&lt;=0,0,K28-O27)+IF(T27&lt;=0,0,P28-T27)+IF(Y27&lt;=0,0,U28-Y27)+IF(AD27&lt;=0,0,Z28-AD27)+IF(AI27&lt;=0,0,AE28-AI27)+IF(AN27&lt;=0,0,AJ28-AN27)+IF(AS27&lt;=0,0,AO28-AS27)+IF(AX27&lt;=0,0,AT28-AX27)+IF(BC27&lt;=0,0,AY28-BC27)</f>
        <v/>
      </c>
      <c r="D28" s="32">
        <f>G28+I28+L28+N28+Q28+S28+V28+X28+AA28+AC28+AF28+AH28+AK28+AM28+AP28+AR28+AU28+AW28+AZ28+BB28</f>
        <v/>
      </c>
      <c r="E28" s="32">
        <f>J28+O28+T28+Y28+AD28+AI28+AN28+AS28+AX28+BC28</f>
        <v/>
      </c>
      <c r="F28" s="33">
        <f>IF(J27&lt;=0,0,ROUND(J27*(1+'Your debts'!$D$6/1200),2))</f>
        <v/>
      </c>
      <c r="G28" s="33">
        <f>IF(F28&lt;=0,0,MIN('Your debts'!$E$6,F28))</f>
        <v/>
      </c>
      <c r="H28" s="33">
        <f>F28-G28</f>
        <v/>
      </c>
      <c r="I28" s="33">
        <f>IF('Your debts'!$F$6="",0,MIN(H28,MAX(0,MAX(0,'Your debts'!$C$19-(G28+L28+Q28+V28+AA28+AF28+AK28+AP28+AU28+AZ28))-(IF(AND('Your debts'!$F$7&lt;&gt;"",'Your debts'!$F$6&lt;&gt;"",'Your debts'!$F$7&lt;'Your debts'!$F$6),M28,0)+IF(AND('Your debts'!$F$8&lt;&gt;"",'Your debts'!$F$6&lt;&gt;"",'Your debts'!$F$8&lt;'Your debts'!$F$6),R28,0)+IF(AND('Your debts'!$F$9&lt;&gt;"",'Your debts'!$F$6&lt;&gt;"",'Your debts'!$F$9&lt;'Your debts'!$F$6),W28,0)+IF(AND('Your debts'!$F$10&lt;&gt;"",'Your debts'!$F$6&lt;&gt;"",'Your debts'!$F$10&lt;'Your debts'!$F$6),AB28,0)+IF(AND('Your debts'!$F$11&lt;&gt;"",'Your debts'!$F$6&lt;&gt;"",'Your debts'!$F$11&lt;'Your debts'!$F$6),AG28,0)+IF(AND('Your debts'!$F$12&lt;&gt;"",'Your debts'!$F$6&lt;&gt;"",'Your debts'!$F$12&lt;'Your debts'!$F$6),AL28,0)+IF(AND('Your debts'!$F$13&lt;&gt;"",'Your debts'!$F$6&lt;&gt;"",'Your debts'!$F$13&lt;'Your debts'!$F$6),AQ28,0)+IF(AND('Your debts'!$F$14&lt;&gt;"",'Your debts'!$F$6&lt;&gt;"",'Your debts'!$F$14&lt;'Your debts'!$F$6),AV28,0)+IF(AND('Your debts'!$F$15&lt;&gt;"",'Your debts'!$F$6&lt;&gt;"",'Your debts'!$F$15&lt;'Your debts'!$F$6),BA28,0)))))</f>
        <v/>
      </c>
      <c r="J28" s="33">
        <f>H28-I28</f>
        <v/>
      </c>
      <c r="K28" s="33">
        <f>IF(O27&lt;=0,0,ROUND(O27*(1+'Your debts'!$D$7/1200),2))</f>
        <v/>
      </c>
      <c r="L28" s="33">
        <f>IF(K28&lt;=0,0,MIN('Your debts'!$E$7,K28))</f>
        <v/>
      </c>
      <c r="M28" s="33">
        <f>K28-L28</f>
        <v/>
      </c>
      <c r="N28" s="33">
        <f>IF('Your debts'!$F$7="",0,MIN(M28,MAX(0,MAX(0,'Your debts'!$C$19-(G28+L28+Q28+V28+AA28+AF28+AK28+AP28+AU28+AZ28))-(IF(AND('Your debts'!$F$6&lt;&gt;"",'Your debts'!$F$7&lt;&gt;"",'Your debts'!$F$6&lt;'Your debts'!$F$7),H28,0)+IF(AND('Your debts'!$F$8&lt;&gt;"",'Your debts'!$F$7&lt;&gt;"",'Your debts'!$F$8&lt;'Your debts'!$F$7),R28,0)+IF(AND('Your debts'!$F$9&lt;&gt;"",'Your debts'!$F$7&lt;&gt;"",'Your debts'!$F$9&lt;'Your debts'!$F$7),W28,0)+IF(AND('Your debts'!$F$10&lt;&gt;"",'Your debts'!$F$7&lt;&gt;"",'Your debts'!$F$10&lt;'Your debts'!$F$7),AB28,0)+IF(AND('Your debts'!$F$11&lt;&gt;"",'Your debts'!$F$7&lt;&gt;"",'Your debts'!$F$11&lt;'Your debts'!$F$7),AG28,0)+IF(AND('Your debts'!$F$12&lt;&gt;"",'Your debts'!$F$7&lt;&gt;"",'Your debts'!$F$12&lt;'Your debts'!$F$7),AL28,0)+IF(AND('Your debts'!$F$13&lt;&gt;"",'Your debts'!$F$7&lt;&gt;"",'Your debts'!$F$13&lt;'Your debts'!$F$7),AQ28,0)+IF(AND('Your debts'!$F$14&lt;&gt;"",'Your debts'!$F$7&lt;&gt;"",'Your debts'!$F$14&lt;'Your debts'!$F$7),AV28,0)+IF(AND('Your debts'!$F$15&lt;&gt;"",'Your debts'!$F$7&lt;&gt;"",'Your debts'!$F$15&lt;'Your debts'!$F$7),BA28,0)))))</f>
        <v/>
      </c>
      <c r="O28" s="33">
        <f>M28-N28</f>
        <v/>
      </c>
      <c r="P28" s="33">
        <f>IF(T27&lt;=0,0,ROUND(T27*(1+'Your debts'!$D$8/1200),2))</f>
        <v/>
      </c>
      <c r="Q28" s="33">
        <f>IF(P28&lt;=0,0,MIN('Your debts'!$E$8,P28))</f>
        <v/>
      </c>
      <c r="R28" s="33">
        <f>P28-Q28</f>
        <v/>
      </c>
      <c r="S28" s="33">
        <f>IF('Your debts'!$F$8="",0,MIN(R28,MAX(0,MAX(0,'Your debts'!$C$19-(G28+L28+Q28+V28+AA28+AF28+AK28+AP28+AU28+AZ28))-(IF(AND('Your debts'!$F$6&lt;&gt;"",'Your debts'!$F$8&lt;&gt;"",'Your debts'!$F$6&lt;'Your debts'!$F$8),H28,0)+IF(AND('Your debts'!$F$7&lt;&gt;"",'Your debts'!$F$8&lt;&gt;"",'Your debts'!$F$7&lt;'Your debts'!$F$8),M28,0)+IF(AND('Your debts'!$F$9&lt;&gt;"",'Your debts'!$F$8&lt;&gt;"",'Your debts'!$F$9&lt;'Your debts'!$F$8),W28,0)+IF(AND('Your debts'!$F$10&lt;&gt;"",'Your debts'!$F$8&lt;&gt;"",'Your debts'!$F$10&lt;'Your debts'!$F$8),AB28,0)+IF(AND('Your debts'!$F$11&lt;&gt;"",'Your debts'!$F$8&lt;&gt;"",'Your debts'!$F$11&lt;'Your debts'!$F$8),AG28,0)+IF(AND('Your debts'!$F$12&lt;&gt;"",'Your debts'!$F$8&lt;&gt;"",'Your debts'!$F$12&lt;'Your debts'!$F$8),AL28,0)+IF(AND('Your debts'!$F$13&lt;&gt;"",'Your debts'!$F$8&lt;&gt;"",'Your debts'!$F$13&lt;'Your debts'!$F$8),AQ28,0)+IF(AND('Your debts'!$F$14&lt;&gt;"",'Your debts'!$F$8&lt;&gt;"",'Your debts'!$F$14&lt;'Your debts'!$F$8),AV28,0)+IF(AND('Your debts'!$F$15&lt;&gt;"",'Your debts'!$F$8&lt;&gt;"",'Your debts'!$F$15&lt;'Your debts'!$F$8),BA28,0)))))</f>
        <v/>
      </c>
      <c r="T28" s="33">
        <f>R28-S28</f>
        <v/>
      </c>
      <c r="U28" s="33">
        <f>IF(Y27&lt;=0,0,ROUND(Y27*(1+'Your debts'!$D$9/1200),2))</f>
        <v/>
      </c>
      <c r="V28" s="33">
        <f>IF(U28&lt;=0,0,MIN('Your debts'!$E$9,U28))</f>
        <v/>
      </c>
      <c r="W28" s="33">
        <f>U28-V28</f>
        <v/>
      </c>
      <c r="X28" s="33">
        <f>IF('Your debts'!$F$9="",0,MIN(W28,MAX(0,MAX(0,'Your debts'!$C$19-(G28+L28+Q28+V28+AA28+AF28+AK28+AP28+AU28+AZ28))-(IF(AND('Your debts'!$F$6&lt;&gt;"",'Your debts'!$F$9&lt;&gt;"",'Your debts'!$F$6&lt;'Your debts'!$F$9),H28,0)+IF(AND('Your debts'!$F$7&lt;&gt;"",'Your debts'!$F$9&lt;&gt;"",'Your debts'!$F$7&lt;'Your debts'!$F$9),M28,0)+IF(AND('Your debts'!$F$8&lt;&gt;"",'Your debts'!$F$9&lt;&gt;"",'Your debts'!$F$8&lt;'Your debts'!$F$9),R28,0)+IF(AND('Your debts'!$F$10&lt;&gt;"",'Your debts'!$F$9&lt;&gt;"",'Your debts'!$F$10&lt;'Your debts'!$F$9),AB28,0)+IF(AND('Your debts'!$F$11&lt;&gt;"",'Your debts'!$F$9&lt;&gt;"",'Your debts'!$F$11&lt;'Your debts'!$F$9),AG28,0)+IF(AND('Your debts'!$F$12&lt;&gt;"",'Your debts'!$F$9&lt;&gt;"",'Your debts'!$F$12&lt;'Your debts'!$F$9),AL28,0)+IF(AND('Your debts'!$F$13&lt;&gt;"",'Your debts'!$F$9&lt;&gt;"",'Your debts'!$F$13&lt;'Your debts'!$F$9),AQ28,0)+IF(AND('Your debts'!$F$14&lt;&gt;"",'Your debts'!$F$9&lt;&gt;"",'Your debts'!$F$14&lt;'Your debts'!$F$9),AV28,0)+IF(AND('Your debts'!$F$15&lt;&gt;"",'Your debts'!$F$9&lt;&gt;"",'Your debts'!$F$15&lt;'Your debts'!$F$9),BA28,0)))))</f>
        <v/>
      </c>
      <c r="Y28" s="33">
        <f>W28-X28</f>
        <v/>
      </c>
      <c r="Z28" s="33">
        <f>IF(AD27&lt;=0,0,ROUND(AD27*(1+'Your debts'!$D$10/1200),2))</f>
        <v/>
      </c>
      <c r="AA28" s="33">
        <f>IF(Z28&lt;=0,0,MIN('Your debts'!$E$10,Z28))</f>
        <v/>
      </c>
      <c r="AB28" s="33">
        <f>Z28-AA28</f>
        <v/>
      </c>
      <c r="AC28" s="33">
        <f>IF('Your debts'!$F$10="",0,MIN(AB28,MAX(0,MAX(0,'Your debts'!$C$19-(G28+L28+Q28+V28+AA28+AF28+AK28+AP28+AU28+AZ28))-(IF(AND('Your debts'!$F$6&lt;&gt;"",'Your debts'!$F$10&lt;&gt;"",'Your debts'!$F$6&lt;'Your debts'!$F$10),H28,0)+IF(AND('Your debts'!$F$7&lt;&gt;"",'Your debts'!$F$10&lt;&gt;"",'Your debts'!$F$7&lt;'Your debts'!$F$10),M28,0)+IF(AND('Your debts'!$F$8&lt;&gt;"",'Your debts'!$F$10&lt;&gt;"",'Your debts'!$F$8&lt;'Your debts'!$F$10),R28,0)+IF(AND('Your debts'!$F$9&lt;&gt;"",'Your debts'!$F$10&lt;&gt;"",'Your debts'!$F$9&lt;'Your debts'!$F$10),W28,0)+IF(AND('Your debts'!$F$11&lt;&gt;"",'Your debts'!$F$10&lt;&gt;"",'Your debts'!$F$11&lt;'Your debts'!$F$10),AG28,0)+IF(AND('Your debts'!$F$12&lt;&gt;"",'Your debts'!$F$10&lt;&gt;"",'Your debts'!$F$12&lt;'Your debts'!$F$10),AL28,0)+IF(AND('Your debts'!$F$13&lt;&gt;"",'Your debts'!$F$10&lt;&gt;"",'Your debts'!$F$13&lt;'Your debts'!$F$10),AQ28,0)+IF(AND('Your debts'!$F$14&lt;&gt;"",'Your debts'!$F$10&lt;&gt;"",'Your debts'!$F$14&lt;'Your debts'!$F$10),AV28,0)+IF(AND('Your debts'!$F$15&lt;&gt;"",'Your debts'!$F$10&lt;&gt;"",'Your debts'!$F$15&lt;'Your debts'!$F$10),BA28,0)))))</f>
        <v/>
      </c>
      <c r="AD28" s="33">
        <f>AB28-AC28</f>
        <v/>
      </c>
      <c r="AE28" s="33">
        <f>IF(AI27&lt;=0,0,ROUND(AI27*(1+'Your debts'!$D$11/1200),2))</f>
        <v/>
      </c>
      <c r="AF28" s="33">
        <f>IF(AE28&lt;=0,0,MIN('Your debts'!$E$11,AE28))</f>
        <v/>
      </c>
      <c r="AG28" s="33">
        <f>AE28-AF28</f>
        <v/>
      </c>
      <c r="AH28" s="33">
        <f>IF('Your debts'!$F$11="",0,MIN(AG28,MAX(0,MAX(0,'Your debts'!$C$19-(G28+L28+Q28+V28+AA28+AF28+AK28+AP28+AU28+AZ28))-(IF(AND('Your debts'!$F$6&lt;&gt;"",'Your debts'!$F$11&lt;&gt;"",'Your debts'!$F$6&lt;'Your debts'!$F$11),H28,0)+IF(AND('Your debts'!$F$7&lt;&gt;"",'Your debts'!$F$11&lt;&gt;"",'Your debts'!$F$7&lt;'Your debts'!$F$11),M28,0)+IF(AND('Your debts'!$F$8&lt;&gt;"",'Your debts'!$F$11&lt;&gt;"",'Your debts'!$F$8&lt;'Your debts'!$F$11),R28,0)+IF(AND('Your debts'!$F$9&lt;&gt;"",'Your debts'!$F$11&lt;&gt;"",'Your debts'!$F$9&lt;'Your debts'!$F$11),W28,0)+IF(AND('Your debts'!$F$10&lt;&gt;"",'Your debts'!$F$11&lt;&gt;"",'Your debts'!$F$10&lt;'Your debts'!$F$11),AB28,0)+IF(AND('Your debts'!$F$12&lt;&gt;"",'Your debts'!$F$11&lt;&gt;"",'Your debts'!$F$12&lt;'Your debts'!$F$11),AL28,0)+IF(AND('Your debts'!$F$13&lt;&gt;"",'Your debts'!$F$11&lt;&gt;"",'Your debts'!$F$13&lt;'Your debts'!$F$11),AQ28,0)+IF(AND('Your debts'!$F$14&lt;&gt;"",'Your debts'!$F$11&lt;&gt;"",'Your debts'!$F$14&lt;'Your debts'!$F$11),AV28,0)+IF(AND('Your debts'!$F$15&lt;&gt;"",'Your debts'!$F$11&lt;&gt;"",'Your debts'!$F$15&lt;'Your debts'!$F$11),BA28,0)))))</f>
        <v/>
      </c>
      <c r="AI28" s="33">
        <f>AG28-AH28</f>
        <v/>
      </c>
      <c r="AJ28" s="33">
        <f>IF(AN27&lt;=0,0,ROUND(AN27*(1+'Your debts'!$D$12/1200),2))</f>
        <v/>
      </c>
      <c r="AK28" s="33">
        <f>IF(AJ28&lt;=0,0,MIN('Your debts'!$E$12,AJ28))</f>
        <v/>
      </c>
      <c r="AL28" s="33">
        <f>AJ28-AK28</f>
        <v/>
      </c>
      <c r="AM28" s="33">
        <f>IF('Your debts'!$F$12="",0,MIN(AL28,MAX(0,MAX(0,'Your debts'!$C$19-(G28+L28+Q28+V28+AA28+AF28+AK28+AP28+AU28+AZ28))-(IF(AND('Your debts'!$F$6&lt;&gt;"",'Your debts'!$F$12&lt;&gt;"",'Your debts'!$F$6&lt;'Your debts'!$F$12),H28,0)+IF(AND('Your debts'!$F$7&lt;&gt;"",'Your debts'!$F$12&lt;&gt;"",'Your debts'!$F$7&lt;'Your debts'!$F$12),M28,0)+IF(AND('Your debts'!$F$8&lt;&gt;"",'Your debts'!$F$12&lt;&gt;"",'Your debts'!$F$8&lt;'Your debts'!$F$12),R28,0)+IF(AND('Your debts'!$F$9&lt;&gt;"",'Your debts'!$F$12&lt;&gt;"",'Your debts'!$F$9&lt;'Your debts'!$F$12),W28,0)+IF(AND('Your debts'!$F$10&lt;&gt;"",'Your debts'!$F$12&lt;&gt;"",'Your debts'!$F$10&lt;'Your debts'!$F$12),AB28,0)+IF(AND('Your debts'!$F$11&lt;&gt;"",'Your debts'!$F$12&lt;&gt;"",'Your debts'!$F$11&lt;'Your debts'!$F$12),AG28,0)+IF(AND('Your debts'!$F$13&lt;&gt;"",'Your debts'!$F$12&lt;&gt;"",'Your debts'!$F$13&lt;'Your debts'!$F$12),AQ28,0)+IF(AND('Your debts'!$F$14&lt;&gt;"",'Your debts'!$F$12&lt;&gt;"",'Your debts'!$F$14&lt;'Your debts'!$F$12),AV28,0)+IF(AND('Your debts'!$F$15&lt;&gt;"",'Your debts'!$F$12&lt;&gt;"",'Your debts'!$F$15&lt;'Your debts'!$F$12),BA28,0)))))</f>
        <v/>
      </c>
      <c r="AN28" s="33">
        <f>AL28-AM28</f>
        <v/>
      </c>
      <c r="AO28" s="33">
        <f>IF(AS27&lt;=0,0,ROUND(AS27*(1+'Your debts'!$D$13/1200),2))</f>
        <v/>
      </c>
      <c r="AP28" s="33">
        <f>IF(AO28&lt;=0,0,MIN('Your debts'!$E$13,AO28))</f>
        <v/>
      </c>
      <c r="AQ28" s="33">
        <f>AO28-AP28</f>
        <v/>
      </c>
      <c r="AR28" s="33">
        <f>IF('Your debts'!$F$13="",0,MIN(AQ28,MAX(0,MAX(0,'Your debts'!$C$19-(G28+L28+Q28+V28+AA28+AF28+AK28+AP28+AU28+AZ28))-(IF(AND('Your debts'!$F$6&lt;&gt;"",'Your debts'!$F$13&lt;&gt;"",'Your debts'!$F$6&lt;'Your debts'!$F$13),H28,0)+IF(AND('Your debts'!$F$7&lt;&gt;"",'Your debts'!$F$13&lt;&gt;"",'Your debts'!$F$7&lt;'Your debts'!$F$13),M28,0)+IF(AND('Your debts'!$F$8&lt;&gt;"",'Your debts'!$F$13&lt;&gt;"",'Your debts'!$F$8&lt;'Your debts'!$F$13),R28,0)+IF(AND('Your debts'!$F$9&lt;&gt;"",'Your debts'!$F$13&lt;&gt;"",'Your debts'!$F$9&lt;'Your debts'!$F$13),W28,0)+IF(AND('Your debts'!$F$10&lt;&gt;"",'Your debts'!$F$13&lt;&gt;"",'Your debts'!$F$10&lt;'Your debts'!$F$13),AB28,0)+IF(AND('Your debts'!$F$11&lt;&gt;"",'Your debts'!$F$13&lt;&gt;"",'Your debts'!$F$11&lt;'Your debts'!$F$13),AG28,0)+IF(AND('Your debts'!$F$12&lt;&gt;"",'Your debts'!$F$13&lt;&gt;"",'Your debts'!$F$12&lt;'Your debts'!$F$13),AL28,0)+IF(AND('Your debts'!$F$14&lt;&gt;"",'Your debts'!$F$13&lt;&gt;"",'Your debts'!$F$14&lt;'Your debts'!$F$13),AV28,0)+IF(AND('Your debts'!$F$15&lt;&gt;"",'Your debts'!$F$13&lt;&gt;"",'Your debts'!$F$15&lt;'Your debts'!$F$13),BA28,0)))))</f>
        <v/>
      </c>
      <c r="AS28" s="33">
        <f>AQ28-AR28</f>
        <v/>
      </c>
      <c r="AT28" s="33">
        <f>IF(AX27&lt;=0,0,ROUND(AX27*(1+'Your debts'!$D$14/1200),2))</f>
        <v/>
      </c>
      <c r="AU28" s="33">
        <f>IF(AT28&lt;=0,0,MIN('Your debts'!$E$14,AT28))</f>
        <v/>
      </c>
      <c r="AV28" s="33">
        <f>AT28-AU28</f>
        <v/>
      </c>
      <c r="AW28" s="33">
        <f>IF('Your debts'!$F$14="",0,MIN(AV28,MAX(0,MAX(0,'Your debts'!$C$19-(G28+L28+Q28+V28+AA28+AF28+AK28+AP28+AU28+AZ28))-(IF(AND('Your debts'!$F$6&lt;&gt;"",'Your debts'!$F$14&lt;&gt;"",'Your debts'!$F$6&lt;'Your debts'!$F$14),H28,0)+IF(AND('Your debts'!$F$7&lt;&gt;"",'Your debts'!$F$14&lt;&gt;"",'Your debts'!$F$7&lt;'Your debts'!$F$14),M28,0)+IF(AND('Your debts'!$F$8&lt;&gt;"",'Your debts'!$F$14&lt;&gt;"",'Your debts'!$F$8&lt;'Your debts'!$F$14),R28,0)+IF(AND('Your debts'!$F$9&lt;&gt;"",'Your debts'!$F$14&lt;&gt;"",'Your debts'!$F$9&lt;'Your debts'!$F$14),W28,0)+IF(AND('Your debts'!$F$10&lt;&gt;"",'Your debts'!$F$14&lt;&gt;"",'Your debts'!$F$10&lt;'Your debts'!$F$14),AB28,0)+IF(AND('Your debts'!$F$11&lt;&gt;"",'Your debts'!$F$14&lt;&gt;"",'Your debts'!$F$11&lt;'Your debts'!$F$14),AG28,0)+IF(AND('Your debts'!$F$12&lt;&gt;"",'Your debts'!$F$14&lt;&gt;"",'Your debts'!$F$12&lt;'Your debts'!$F$14),AL28,0)+IF(AND('Your debts'!$F$13&lt;&gt;"",'Your debts'!$F$14&lt;&gt;"",'Your debts'!$F$13&lt;'Your debts'!$F$14),AQ28,0)+IF(AND('Your debts'!$F$15&lt;&gt;"",'Your debts'!$F$14&lt;&gt;"",'Your debts'!$F$15&lt;'Your debts'!$F$14),BA28,0)))))</f>
        <v/>
      </c>
      <c r="AX28" s="33">
        <f>AV28-AW28</f>
        <v/>
      </c>
      <c r="AY28" s="33">
        <f>IF(BC27&lt;=0,0,ROUND(BC27*(1+'Your debts'!$D$15/1200),2))</f>
        <v/>
      </c>
      <c r="AZ28" s="33">
        <f>IF(AY28&lt;=0,0,MIN('Your debts'!$E$15,AY28))</f>
        <v/>
      </c>
      <c r="BA28" s="33">
        <f>AY28-AZ28</f>
        <v/>
      </c>
      <c r="BB28" s="33">
        <f>IF('Your debts'!$F$15="",0,MIN(BA28,MAX(0,MAX(0,'Your debts'!$C$19-(G28+L28+Q28+V28+AA28+AF28+AK28+AP28+AU28+AZ28))-(IF(AND('Your debts'!$F$6&lt;&gt;"",'Your debts'!$F$15&lt;&gt;"",'Your debts'!$F$6&lt;'Your debts'!$F$15),H28,0)+IF(AND('Your debts'!$F$7&lt;&gt;"",'Your debts'!$F$15&lt;&gt;"",'Your debts'!$F$7&lt;'Your debts'!$F$15),M28,0)+IF(AND('Your debts'!$F$8&lt;&gt;"",'Your debts'!$F$15&lt;&gt;"",'Your debts'!$F$8&lt;'Your debts'!$F$15),R28,0)+IF(AND('Your debts'!$F$9&lt;&gt;"",'Your debts'!$F$15&lt;&gt;"",'Your debts'!$F$9&lt;'Your debts'!$F$15),W28,0)+IF(AND('Your debts'!$F$10&lt;&gt;"",'Your debts'!$F$15&lt;&gt;"",'Your debts'!$F$10&lt;'Your debts'!$F$15),AB28,0)+IF(AND('Your debts'!$F$11&lt;&gt;"",'Your debts'!$F$15&lt;&gt;"",'Your debts'!$F$11&lt;'Your debts'!$F$15),AG28,0)+IF(AND('Your debts'!$F$12&lt;&gt;"",'Your debts'!$F$15&lt;&gt;"",'Your debts'!$F$12&lt;'Your debts'!$F$15),AL28,0)+IF(AND('Your debts'!$F$13&lt;&gt;"",'Your debts'!$F$15&lt;&gt;"",'Your debts'!$F$13&lt;'Your debts'!$F$15),AQ28,0)+IF(AND('Your debts'!$F$14&lt;&gt;"",'Your debts'!$F$15&lt;&gt;"",'Your debts'!$F$14&lt;'Your debts'!$F$15),AV28,0)))))</f>
        <v/>
      </c>
      <c r="BC28" s="33">
        <f>BA28-BB28</f>
        <v/>
      </c>
    </row>
    <row r="29">
      <c r="A29" s="30" t="n">
        <v>14</v>
      </c>
      <c r="B29" s="31">
        <f>EDATE($B$15,14)</f>
        <v/>
      </c>
      <c r="C29" s="32">
        <f>IF(J28&lt;=0,0,F29-J28)+IF(O28&lt;=0,0,K29-O28)+IF(T28&lt;=0,0,P29-T28)+IF(Y28&lt;=0,0,U29-Y28)+IF(AD28&lt;=0,0,Z29-AD28)+IF(AI28&lt;=0,0,AE29-AI28)+IF(AN28&lt;=0,0,AJ29-AN28)+IF(AS28&lt;=0,0,AO29-AS28)+IF(AX28&lt;=0,0,AT29-AX28)+IF(BC28&lt;=0,0,AY29-BC28)</f>
        <v/>
      </c>
      <c r="D29" s="32">
        <f>G29+I29+L29+N29+Q29+S29+V29+X29+AA29+AC29+AF29+AH29+AK29+AM29+AP29+AR29+AU29+AW29+AZ29+BB29</f>
        <v/>
      </c>
      <c r="E29" s="32">
        <f>J29+O29+T29+Y29+AD29+AI29+AN29+AS29+AX29+BC29</f>
        <v/>
      </c>
      <c r="F29" s="33">
        <f>IF(J28&lt;=0,0,ROUND(J28*(1+'Your debts'!$D$6/1200),2))</f>
        <v/>
      </c>
      <c r="G29" s="33">
        <f>IF(F29&lt;=0,0,MIN('Your debts'!$E$6,F29))</f>
        <v/>
      </c>
      <c r="H29" s="33">
        <f>F29-G29</f>
        <v/>
      </c>
      <c r="I29" s="33">
        <f>IF('Your debts'!$F$6="",0,MIN(H29,MAX(0,MAX(0,'Your debts'!$C$19-(G29+L29+Q29+V29+AA29+AF29+AK29+AP29+AU29+AZ29))-(IF(AND('Your debts'!$F$7&lt;&gt;"",'Your debts'!$F$6&lt;&gt;"",'Your debts'!$F$7&lt;'Your debts'!$F$6),M29,0)+IF(AND('Your debts'!$F$8&lt;&gt;"",'Your debts'!$F$6&lt;&gt;"",'Your debts'!$F$8&lt;'Your debts'!$F$6),R29,0)+IF(AND('Your debts'!$F$9&lt;&gt;"",'Your debts'!$F$6&lt;&gt;"",'Your debts'!$F$9&lt;'Your debts'!$F$6),W29,0)+IF(AND('Your debts'!$F$10&lt;&gt;"",'Your debts'!$F$6&lt;&gt;"",'Your debts'!$F$10&lt;'Your debts'!$F$6),AB29,0)+IF(AND('Your debts'!$F$11&lt;&gt;"",'Your debts'!$F$6&lt;&gt;"",'Your debts'!$F$11&lt;'Your debts'!$F$6),AG29,0)+IF(AND('Your debts'!$F$12&lt;&gt;"",'Your debts'!$F$6&lt;&gt;"",'Your debts'!$F$12&lt;'Your debts'!$F$6),AL29,0)+IF(AND('Your debts'!$F$13&lt;&gt;"",'Your debts'!$F$6&lt;&gt;"",'Your debts'!$F$13&lt;'Your debts'!$F$6),AQ29,0)+IF(AND('Your debts'!$F$14&lt;&gt;"",'Your debts'!$F$6&lt;&gt;"",'Your debts'!$F$14&lt;'Your debts'!$F$6),AV29,0)+IF(AND('Your debts'!$F$15&lt;&gt;"",'Your debts'!$F$6&lt;&gt;"",'Your debts'!$F$15&lt;'Your debts'!$F$6),BA29,0)))))</f>
        <v/>
      </c>
      <c r="J29" s="33">
        <f>H29-I29</f>
        <v/>
      </c>
      <c r="K29" s="33">
        <f>IF(O28&lt;=0,0,ROUND(O28*(1+'Your debts'!$D$7/1200),2))</f>
        <v/>
      </c>
      <c r="L29" s="33">
        <f>IF(K29&lt;=0,0,MIN('Your debts'!$E$7,K29))</f>
        <v/>
      </c>
      <c r="M29" s="33">
        <f>K29-L29</f>
        <v/>
      </c>
      <c r="N29" s="33">
        <f>IF('Your debts'!$F$7="",0,MIN(M29,MAX(0,MAX(0,'Your debts'!$C$19-(G29+L29+Q29+V29+AA29+AF29+AK29+AP29+AU29+AZ29))-(IF(AND('Your debts'!$F$6&lt;&gt;"",'Your debts'!$F$7&lt;&gt;"",'Your debts'!$F$6&lt;'Your debts'!$F$7),H29,0)+IF(AND('Your debts'!$F$8&lt;&gt;"",'Your debts'!$F$7&lt;&gt;"",'Your debts'!$F$8&lt;'Your debts'!$F$7),R29,0)+IF(AND('Your debts'!$F$9&lt;&gt;"",'Your debts'!$F$7&lt;&gt;"",'Your debts'!$F$9&lt;'Your debts'!$F$7),W29,0)+IF(AND('Your debts'!$F$10&lt;&gt;"",'Your debts'!$F$7&lt;&gt;"",'Your debts'!$F$10&lt;'Your debts'!$F$7),AB29,0)+IF(AND('Your debts'!$F$11&lt;&gt;"",'Your debts'!$F$7&lt;&gt;"",'Your debts'!$F$11&lt;'Your debts'!$F$7),AG29,0)+IF(AND('Your debts'!$F$12&lt;&gt;"",'Your debts'!$F$7&lt;&gt;"",'Your debts'!$F$12&lt;'Your debts'!$F$7),AL29,0)+IF(AND('Your debts'!$F$13&lt;&gt;"",'Your debts'!$F$7&lt;&gt;"",'Your debts'!$F$13&lt;'Your debts'!$F$7),AQ29,0)+IF(AND('Your debts'!$F$14&lt;&gt;"",'Your debts'!$F$7&lt;&gt;"",'Your debts'!$F$14&lt;'Your debts'!$F$7),AV29,0)+IF(AND('Your debts'!$F$15&lt;&gt;"",'Your debts'!$F$7&lt;&gt;"",'Your debts'!$F$15&lt;'Your debts'!$F$7),BA29,0)))))</f>
        <v/>
      </c>
      <c r="O29" s="33">
        <f>M29-N29</f>
        <v/>
      </c>
      <c r="P29" s="33">
        <f>IF(T28&lt;=0,0,ROUND(T28*(1+'Your debts'!$D$8/1200),2))</f>
        <v/>
      </c>
      <c r="Q29" s="33">
        <f>IF(P29&lt;=0,0,MIN('Your debts'!$E$8,P29))</f>
        <v/>
      </c>
      <c r="R29" s="33">
        <f>P29-Q29</f>
        <v/>
      </c>
      <c r="S29" s="33">
        <f>IF('Your debts'!$F$8="",0,MIN(R29,MAX(0,MAX(0,'Your debts'!$C$19-(G29+L29+Q29+V29+AA29+AF29+AK29+AP29+AU29+AZ29))-(IF(AND('Your debts'!$F$6&lt;&gt;"",'Your debts'!$F$8&lt;&gt;"",'Your debts'!$F$6&lt;'Your debts'!$F$8),H29,0)+IF(AND('Your debts'!$F$7&lt;&gt;"",'Your debts'!$F$8&lt;&gt;"",'Your debts'!$F$7&lt;'Your debts'!$F$8),M29,0)+IF(AND('Your debts'!$F$9&lt;&gt;"",'Your debts'!$F$8&lt;&gt;"",'Your debts'!$F$9&lt;'Your debts'!$F$8),W29,0)+IF(AND('Your debts'!$F$10&lt;&gt;"",'Your debts'!$F$8&lt;&gt;"",'Your debts'!$F$10&lt;'Your debts'!$F$8),AB29,0)+IF(AND('Your debts'!$F$11&lt;&gt;"",'Your debts'!$F$8&lt;&gt;"",'Your debts'!$F$11&lt;'Your debts'!$F$8),AG29,0)+IF(AND('Your debts'!$F$12&lt;&gt;"",'Your debts'!$F$8&lt;&gt;"",'Your debts'!$F$12&lt;'Your debts'!$F$8),AL29,0)+IF(AND('Your debts'!$F$13&lt;&gt;"",'Your debts'!$F$8&lt;&gt;"",'Your debts'!$F$13&lt;'Your debts'!$F$8),AQ29,0)+IF(AND('Your debts'!$F$14&lt;&gt;"",'Your debts'!$F$8&lt;&gt;"",'Your debts'!$F$14&lt;'Your debts'!$F$8),AV29,0)+IF(AND('Your debts'!$F$15&lt;&gt;"",'Your debts'!$F$8&lt;&gt;"",'Your debts'!$F$15&lt;'Your debts'!$F$8),BA29,0)))))</f>
        <v/>
      </c>
      <c r="T29" s="33">
        <f>R29-S29</f>
        <v/>
      </c>
      <c r="U29" s="33">
        <f>IF(Y28&lt;=0,0,ROUND(Y28*(1+'Your debts'!$D$9/1200),2))</f>
        <v/>
      </c>
      <c r="V29" s="33">
        <f>IF(U29&lt;=0,0,MIN('Your debts'!$E$9,U29))</f>
        <v/>
      </c>
      <c r="W29" s="33">
        <f>U29-V29</f>
        <v/>
      </c>
      <c r="X29" s="33">
        <f>IF('Your debts'!$F$9="",0,MIN(W29,MAX(0,MAX(0,'Your debts'!$C$19-(G29+L29+Q29+V29+AA29+AF29+AK29+AP29+AU29+AZ29))-(IF(AND('Your debts'!$F$6&lt;&gt;"",'Your debts'!$F$9&lt;&gt;"",'Your debts'!$F$6&lt;'Your debts'!$F$9),H29,0)+IF(AND('Your debts'!$F$7&lt;&gt;"",'Your debts'!$F$9&lt;&gt;"",'Your debts'!$F$7&lt;'Your debts'!$F$9),M29,0)+IF(AND('Your debts'!$F$8&lt;&gt;"",'Your debts'!$F$9&lt;&gt;"",'Your debts'!$F$8&lt;'Your debts'!$F$9),R29,0)+IF(AND('Your debts'!$F$10&lt;&gt;"",'Your debts'!$F$9&lt;&gt;"",'Your debts'!$F$10&lt;'Your debts'!$F$9),AB29,0)+IF(AND('Your debts'!$F$11&lt;&gt;"",'Your debts'!$F$9&lt;&gt;"",'Your debts'!$F$11&lt;'Your debts'!$F$9),AG29,0)+IF(AND('Your debts'!$F$12&lt;&gt;"",'Your debts'!$F$9&lt;&gt;"",'Your debts'!$F$12&lt;'Your debts'!$F$9),AL29,0)+IF(AND('Your debts'!$F$13&lt;&gt;"",'Your debts'!$F$9&lt;&gt;"",'Your debts'!$F$13&lt;'Your debts'!$F$9),AQ29,0)+IF(AND('Your debts'!$F$14&lt;&gt;"",'Your debts'!$F$9&lt;&gt;"",'Your debts'!$F$14&lt;'Your debts'!$F$9),AV29,0)+IF(AND('Your debts'!$F$15&lt;&gt;"",'Your debts'!$F$9&lt;&gt;"",'Your debts'!$F$15&lt;'Your debts'!$F$9),BA29,0)))))</f>
        <v/>
      </c>
      <c r="Y29" s="33">
        <f>W29-X29</f>
        <v/>
      </c>
      <c r="Z29" s="33">
        <f>IF(AD28&lt;=0,0,ROUND(AD28*(1+'Your debts'!$D$10/1200),2))</f>
        <v/>
      </c>
      <c r="AA29" s="33">
        <f>IF(Z29&lt;=0,0,MIN('Your debts'!$E$10,Z29))</f>
        <v/>
      </c>
      <c r="AB29" s="33">
        <f>Z29-AA29</f>
        <v/>
      </c>
      <c r="AC29" s="33">
        <f>IF('Your debts'!$F$10="",0,MIN(AB29,MAX(0,MAX(0,'Your debts'!$C$19-(G29+L29+Q29+V29+AA29+AF29+AK29+AP29+AU29+AZ29))-(IF(AND('Your debts'!$F$6&lt;&gt;"",'Your debts'!$F$10&lt;&gt;"",'Your debts'!$F$6&lt;'Your debts'!$F$10),H29,0)+IF(AND('Your debts'!$F$7&lt;&gt;"",'Your debts'!$F$10&lt;&gt;"",'Your debts'!$F$7&lt;'Your debts'!$F$10),M29,0)+IF(AND('Your debts'!$F$8&lt;&gt;"",'Your debts'!$F$10&lt;&gt;"",'Your debts'!$F$8&lt;'Your debts'!$F$10),R29,0)+IF(AND('Your debts'!$F$9&lt;&gt;"",'Your debts'!$F$10&lt;&gt;"",'Your debts'!$F$9&lt;'Your debts'!$F$10),W29,0)+IF(AND('Your debts'!$F$11&lt;&gt;"",'Your debts'!$F$10&lt;&gt;"",'Your debts'!$F$11&lt;'Your debts'!$F$10),AG29,0)+IF(AND('Your debts'!$F$12&lt;&gt;"",'Your debts'!$F$10&lt;&gt;"",'Your debts'!$F$12&lt;'Your debts'!$F$10),AL29,0)+IF(AND('Your debts'!$F$13&lt;&gt;"",'Your debts'!$F$10&lt;&gt;"",'Your debts'!$F$13&lt;'Your debts'!$F$10),AQ29,0)+IF(AND('Your debts'!$F$14&lt;&gt;"",'Your debts'!$F$10&lt;&gt;"",'Your debts'!$F$14&lt;'Your debts'!$F$10),AV29,0)+IF(AND('Your debts'!$F$15&lt;&gt;"",'Your debts'!$F$10&lt;&gt;"",'Your debts'!$F$15&lt;'Your debts'!$F$10),BA29,0)))))</f>
        <v/>
      </c>
      <c r="AD29" s="33">
        <f>AB29-AC29</f>
        <v/>
      </c>
      <c r="AE29" s="33">
        <f>IF(AI28&lt;=0,0,ROUND(AI28*(1+'Your debts'!$D$11/1200),2))</f>
        <v/>
      </c>
      <c r="AF29" s="33">
        <f>IF(AE29&lt;=0,0,MIN('Your debts'!$E$11,AE29))</f>
        <v/>
      </c>
      <c r="AG29" s="33">
        <f>AE29-AF29</f>
        <v/>
      </c>
      <c r="AH29" s="33">
        <f>IF('Your debts'!$F$11="",0,MIN(AG29,MAX(0,MAX(0,'Your debts'!$C$19-(G29+L29+Q29+V29+AA29+AF29+AK29+AP29+AU29+AZ29))-(IF(AND('Your debts'!$F$6&lt;&gt;"",'Your debts'!$F$11&lt;&gt;"",'Your debts'!$F$6&lt;'Your debts'!$F$11),H29,0)+IF(AND('Your debts'!$F$7&lt;&gt;"",'Your debts'!$F$11&lt;&gt;"",'Your debts'!$F$7&lt;'Your debts'!$F$11),M29,0)+IF(AND('Your debts'!$F$8&lt;&gt;"",'Your debts'!$F$11&lt;&gt;"",'Your debts'!$F$8&lt;'Your debts'!$F$11),R29,0)+IF(AND('Your debts'!$F$9&lt;&gt;"",'Your debts'!$F$11&lt;&gt;"",'Your debts'!$F$9&lt;'Your debts'!$F$11),W29,0)+IF(AND('Your debts'!$F$10&lt;&gt;"",'Your debts'!$F$11&lt;&gt;"",'Your debts'!$F$10&lt;'Your debts'!$F$11),AB29,0)+IF(AND('Your debts'!$F$12&lt;&gt;"",'Your debts'!$F$11&lt;&gt;"",'Your debts'!$F$12&lt;'Your debts'!$F$11),AL29,0)+IF(AND('Your debts'!$F$13&lt;&gt;"",'Your debts'!$F$11&lt;&gt;"",'Your debts'!$F$13&lt;'Your debts'!$F$11),AQ29,0)+IF(AND('Your debts'!$F$14&lt;&gt;"",'Your debts'!$F$11&lt;&gt;"",'Your debts'!$F$14&lt;'Your debts'!$F$11),AV29,0)+IF(AND('Your debts'!$F$15&lt;&gt;"",'Your debts'!$F$11&lt;&gt;"",'Your debts'!$F$15&lt;'Your debts'!$F$11),BA29,0)))))</f>
        <v/>
      </c>
      <c r="AI29" s="33">
        <f>AG29-AH29</f>
        <v/>
      </c>
      <c r="AJ29" s="33">
        <f>IF(AN28&lt;=0,0,ROUND(AN28*(1+'Your debts'!$D$12/1200),2))</f>
        <v/>
      </c>
      <c r="AK29" s="33">
        <f>IF(AJ29&lt;=0,0,MIN('Your debts'!$E$12,AJ29))</f>
        <v/>
      </c>
      <c r="AL29" s="33">
        <f>AJ29-AK29</f>
        <v/>
      </c>
      <c r="AM29" s="33">
        <f>IF('Your debts'!$F$12="",0,MIN(AL29,MAX(0,MAX(0,'Your debts'!$C$19-(G29+L29+Q29+V29+AA29+AF29+AK29+AP29+AU29+AZ29))-(IF(AND('Your debts'!$F$6&lt;&gt;"",'Your debts'!$F$12&lt;&gt;"",'Your debts'!$F$6&lt;'Your debts'!$F$12),H29,0)+IF(AND('Your debts'!$F$7&lt;&gt;"",'Your debts'!$F$12&lt;&gt;"",'Your debts'!$F$7&lt;'Your debts'!$F$12),M29,0)+IF(AND('Your debts'!$F$8&lt;&gt;"",'Your debts'!$F$12&lt;&gt;"",'Your debts'!$F$8&lt;'Your debts'!$F$12),R29,0)+IF(AND('Your debts'!$F$9&lt;&gt;"",'Your debts'!$F$12&lt;&gt;"",'Your debts'!$F$9&lt;'Your debts'!$F$12),W29,0)+IF(AND('Your debts'!$F$10&lt;&gt;"",'Your debts'!$F$12&lt;&gt;"",'Your debts'!$F$10&lt;'Your debts'!$F$12),AB29,0)+IF(AND('Your debts'!$F$11&lt;&gt;"",'Your debts'!$F$12&lt;&gt;"",'Your debts'!$F$11&lt;'Your debts'!$F$12),AG29,0)+IF(AND('Your debts'!$F$13&lt;&gt;"",'Your debts'!$F$12&lt;&gt;"",'Your debts'!$F$13&lt;'Your debts'!$F$12),AQ29,0)+IF(AND('Your debts'!$F$14&lt;&gt;"",'Your debts'!$F$12&lt;&gt;"",'Your debts'!$F$14&lt;'Your debts'!$F$12),AV29,0)+IF(AND('Your debts'!$F$15&lt;&gt;"",'Your debts'!$F$12&lt;&gt;"",'Your debts'!$F$15&lt;'Your debts'!$F$12),BA29,0)))))</f>
        <v/>
      </c>
      <c r="AN29" s="33">
        <f>AL29-AM29</f>
        <v/>
      </c>
      <c r="AO29" s="33">
        <f>IF(AS28&lt;=0,0,ROUND(AS28*(1+'Your debts'!$D$13/1200),2))</f>
        <v/>
      </c>
      <c r="AP29" s="33">
        <f>IF(AO29&lt;=0,0,MIN('Your debts'!$E$13,AO29))</f>
        <v/>
      </c>
      <c r="AQ29" s="33">
        <f>AO29-AP29</f>
        <v/>
      </c>
      <c r="AR29" s="33">
        <f>IF('Your debts'!$F$13="",0,MIN(AQ29,MAX(0,MAX(0,'Your debts'!$C$19-(G29+L29+Q29+V29+AA29+AF29+AK29+AP29+AU29+AZ29))-(IF(AND('Your debts'!$F$6&lt;&gt;"",'Your debts'!$F$13&lt;&gt;"",'Your debts'!$F$6&lt;'Your debts'!$F$13),H29,0)+IF(AND('Your debts'!$F$7&lt;&gt;"",'Your debts'!$F$13&lt;&gt;"",'Your debts'!$F$7&lt;'Your debts'!$F$13),M29,0)+IF(AND('Your debts'!$F$8&lt;&gt;"",'Your debts'!$F$13&lt;&gt;"",'Your debts'!$F$8&lt;'Your debts'!$F$13),R29,0)+IF(AND('Your debts'!$F$9&lt;&gt;"",'Your debts'!$F$13&lt;&gt;"",'Your debts'!$F$9&lt;'Your debts'!$F$13),W29,0)+IF(AND('Your debts'!$F$10&lt;&gt;"",'Your debts'!$F$13&lt;&gt;"",'Your debts'!$F$10&lt;'Your debts'!$F$13),AB29,0)+IF(AND('Your debts'!$F$11&lt;&gt;"",'Your debts'!$F$13&lt;&gt;"",'Your debts'!$F$11&lt;'Your debts'!$F$13),AG29,0)+IF(AND('Your debts'!$F$12&lt;&gt;"",'Your debts'!$F$13&lt;&gt;"",'Your debts'!$F$12&lt;'Your debts'!$F$13),AL29,0)+IF(AND('Your debts'!$F$14&lt;&gt;"",'Your debts'!$F$13&lt;&gt;"",'Your debts'!$F$14&lt;'Your debts'!$F$13),AV29,0)+IF(AND('Your debts'!$F$15&lt;&gt;"",'Your debts'!$F$13&lt;&gt;"",'Your debts'!$F$15&lt;'Your debts'!$F$13),BA29,0)))))</f>
        <v/>
      </c>
      <c r="AS29" s="33">
        <f>AQ29-AR29</f>
        <v/>
      </c>
      <c r="AT29" s="33">
        <f>IF(AX28&lt;=0,0,ROUND(AX28*(1+'Your debts'!$D$14/1200),2))</f>
        <v/>
      </c>
      <c r="AU29" s="33">
        <f>IF(AT29&lt;=0,0,MIN('Your debts'!$E$14,AT29))</f>
        <v/>
      </c>
      <c r="AV29" s="33">
        <f>AT29-AU29</f>
        <v/>
      </c>
      <c r="AW29" s="33">
        <f>IF('Your debts'!$F$14="",0,MIN(AV29,MAX(0,MAX(0,'Your debts'!$C$19-(G29+L29+Q29+V29+AA29+AF29+AK29+AP29+AU29+AZ29))-(IF(AND('Your debts'!$F$6&lt;&gt;"",'Your debts'!$F$14&lt;&gt;"",'Your debts'!$F$6&lt;'Your debts'!$F$14),H29,0)+IF(AND('Your debts'!$F$7&lt;&gt;"",'Your debts'!$F$14&lt;&gt;"",'Your debts'!$F$7&lt;'Your debts'!$F$14),M29,0)+IF(AND('Your debts'!$F$8&lt;&gt;"",'Your debts'!$F$14&lt;&gt;"",'Your debts'!$F$8&lt;'Your debts'!$F$14),R29,0)+IF(AND('Your debts'!$F$9&lt;&gt;"",'Your debts'!$F$14&lt;&gt;"",'Your debts'!$F$9&lt;'Your debts'!$F$14),W29,0)+IF(AND('Your debts'!$F$10&lt;&gt;"",'Your debts'!$F$14&lt;&gt;"",'Your debts'!$F$10&lt;'Your debts'!$F$14),AB29,0)+IF(AND('Your debts'!$F$11&lt;&gt;"",'Your debts'!$F$14&lt;&gt;"",'Your debts'!$F$11&lt;'Your debts'!$F$14),AG29,0)+IF(AND('Your debts'!$F$12&lt;&gt;"",'Your debts'!$F$14&lt;&gt;"",'Your debts'!$F$12&lt;'Your debts'!$F$14),AL29,0)+IF(AND('Your debts'!$F$13&lt;&gt;"",'Your debts'!$F$14&lt;&gt;"",'Your debts'!$F$13&lt;'Your debts'!$F$14),AQ29,0)+IF(AND('Your debts'!$F$15&lt;&gt;"",'Your debts'!$F$14&lt;&gt;"",'Your debts'!$F$15&lt;'Your debts'!$F$14),BA29,0)))))</f>
        <v/>
      </c>
      <c r="AX29" s="33">
        <f>AV29-AW29</f>
        <v/>
      </c>
      <c r="AY29" s="33">
        <f>IF(BC28&lt;=0,0,ROUND(BC28*(1+'Your debts'!$D$15/1200),2))</f>
        <v/>
      </c>
      <c r="AZ29" s="33">
        <f>IF(AY29&lt;=0,0,MIN('Your debts'!$E$15,AY29))</f>
        <v/>
      </c>
      <c r="BA29" s="33">
        <f>AY29-AZ29</f>
        <v/>
      </c>
      <c r="BB29" s="33">
        <f>IF('Your debts'!$F$15="",0,MIN(BA29,MAX(0,MAX(0,'Your debts'!$C$19-(G29+L29+Q29+V29+AA29+AF29+AK29+AP29+AU29+AZ29))-(IF(AND('Your debts'!$F$6&lt;&gt;"",'Your debts'!$F$15&lt;&gt;"",'Your debts'!$F$6&lt;'Your debts'!$F$15),H29,0)+IF(AND('Your debts'!$F$7&lt;&gt;"",'Your debts'!$F$15&lt;&gt;"",'Your debts'!$F$7&lt;'Your debts'!$F$15),M29,0)+IF(AND('Your debts'!$F$8&lt;&gt;"",'Your debts'!$F$15&lt;&gt;"",'Your debts'!$F$8&lt;'Your debts'!$F$15),R29,0)+IF(AND('Your debts'!$F$9&lt;&gt;"",'Your debts'!$F$15&lt;&gt;"",'Your debts'!$F$9&lt;'Your debts'!$F$15),W29,0)+IF(AND('Your debts'!$F$10&lt;&gt;"",'Your debts'!$F$15&lt;&gt;"",'Your debts'!$F$10&lt;'Your debts'!$F$15),AB29,0)+IF(AND('Your debts'!$F$11&lt;&gt;"",'Your debts'!$F$15&lt;&gt;"",'Your debts'!$F$11&lt;'Your debts'!$F$15),AG29,0)+IF(AND('Your debts'!$F$12&lt;&gt;"",'Your debts'!$F$15&lt;&gt;"",'Your debts'!$F$12&lt;'Your debts'!$F$15),AL29,0)+IF(AND('Your debts'!$F$13&lt;&gt;"",'Your debts'!$F$15&lt;&gt;"",'Your debts'!$F$13&lt;'Your debts'!$F$15),AQ29,0)+IF(AND('Your debts'!$F$14&lt;&gt;"",'Your debts'!$F$15&lt;&gt;"",'Your debts'!$F$14&lt;'Your debts'!$F$15),AV29,0)))))</f>
        <v/>
      </c>
      <c r="BC29" s="33">
        <f>BA29-BB29</f>
        <v/>
      </c>
    </row>
    <row r="30">
      <c r="A30" s="30" t="n">
        <v>15</v>
      </c>
      <c r="B30" s="31">
        <f>EDATE($B$15,15)</f>
        <v/>
      </c>
      <c r="C30" s="32">
        <f>IF(J29&lt;=0,0,F30-J29)+IF(O29&lt;=0,0,K30-O29)+IF(T29&lt;=0,0,P30-T29)+IF(Y29&lt;=0,0,U30-Y29)+IF(AD29&lt;=0,0,Z30-AD29)+IF(AI29&lt;=0,0,AE30-AI29)+IF(AN29&lt;=0,0,AJ30-AN29)+IF(AS29&lt;=0,0,AO30-AS29)+IF(AX29&lt;=0,0,AT30-AX29)+IF(BC29&lt;=0,0,AY30-BC29)</f>
        <v/>
      </c>
      <c r="D30" s="32">
        <f>G30+I30+L30+N30+Q30+S30+V30+X30+AA30+AC30+AF30+AH30+AK30+AM30+AP30+AR30+AU30+AW30+AZ30+BB30</f>
        <v/>
      </c>
      <c r="E30" s="32">
        <f>J30+O30+T30+Y30+AD30+AI30+AN30+AS30+AX30+BC30</f>
        <v/>
      </c>
      <c r="F30" s="33">
        <f>IF(J29&lt;=0,0,ROUND(J29*(1+'Your debts'!$D$6/1200),2))</f>
        <v/>
      </c>
      <c r="G30" s="33">
        <f>IF(F30&lt;=0,0,MIN('Your debts'!$E$6,F30))</f>
        <v/>
      </c>
      <c r="H30" s="33">
        <f>F30-G30</f>
        <v/>
      </c>
      <c r="I30" s="33">
        <f>IF('Your debts'!$F$6="",0,MIN(H30,MAX(0,MAX(0,'Your debts'!$C$19-(G30+L30+Q30+V30+AA30+AF30+AK30+AP30+AU30+AZ30))-(IF(AND('Your debts'!$F$7&lt;&gt;"",'Your debts'!$F$6&lt;&gt;"",'Your debts'!$F$7&lt;'Your debts'!$F$6),M30,0)+IF(AND('Your debts'!$F$8&lt;&gt;"",'Your debts'!$F$6&lt;&gt;"",'Your debts'!$F$8&lt;'Your debts'!$F$6),R30,0)+IF(AND('Your debts'!$F$9&lt;&gt;"",'Your debts'!$F$6&lt;&gt;"",'Your debts'!$F$9&lt;'Your debts'!$F$6),W30,0)+IF(AND('Your debts'!$F$10&lt;&gt;"",'Your debts'!$F$6&lt;&gt;"",'Your debts'!$F$10&lt;'Your debts'!$F$6),AB30,0)+IF(AND('Your debts'!$F$11&lt;&gt;"",'Your debts'!$F$6&lt;&gt;"",'Your debts'!$F$11&lt;'Your debts'!$F$6),AG30,0)+IF(AND('Your debts'!$F$12&lt;&gt;"",'Your debts'!$F$6&lt;&gt;"",'Your debts'!$F$12&lt;'Your debts'!$F$6),AL30,0)+IF(AND('Your debts'!$F$13&lt;&gt;"",'Your debts'!$F$6&lt;&gt;"",'Your debts'!$F$13&lt;'Your debts'!$F$6),AQ30,0)+IF(AND('Your debts'!$F$14&lt;&gt;"",'Your debts'!$F$6&lt;&gt;"",'Your debts'!$F$14&lt;'Your debts'!$F$6),AV30,0)+IF(AND('Your debts'!$F$15&lt;&gt;"",'Your debts'!$F$6&lt;&gt;"",'Your debts'!$F$15&lt;'Your debts'!$F$6),BA30,0)))))</f>
        <v/>
      </c>
      <c r="J30" s="33">
        <f>H30-I30</f>
        <v/>
      </c>
      <c r="K30" s="33">
        <f>IF(O29&lt;=0,0,ROUND(O29*(1+'Your debts'!$D$7/1200),2))</f>
        <v/>
      </c>
      <c r="L30" s="33">
        <f>IF(K30&lt;=0,0,MIN('Your debts'!$E$7,K30))</f>
        <v/>
      </c>
      <c r="M30" s="33">
        <f>K30-L30</f>
        <v/>
      </c>
      <c r="N30" s="33">
        <f>IF('Your debts'!$F$7="",0,MIN(M30,MAX(0,MAX(0,'Your debts'!$C$19-(G30+L30+Q30+V30+AA30+AF30+AK30+AP30+AU30+AZ30))-(IF(AND('Your debts'!$F$6&lt;&gt;"",'Your debts'!$F$7&lt;&gt;"",'Your debts'!$F$6&lt;'Your debts'!$F$7),H30,0)+IF(AND('Your debts'!$F$8&lt;&gt;"",'Your debts'!$F$7&lt;&gt;"",'Your debts'!$F$8&lt;'Your debts'!$F$7),R30,0)+IF(AND('Your debts'!$F$9&lt;&gt;"",'Your debts'!$F$7&lt;&gt;"",'Your debts'!$F$9&lt;'Your debts'!$F$7),W30,0)+IF(AND('Your debts'!$F$10&lt;&gt;"",'Your debts'!$F$7&lt;&gt;"",'Your debts'!$F$10&lt;'Your debts'!$F$7),AB30,0)+IF(AND('Your debts'!$F$11&lt;&gt;"",'Your debts'!$F$7&lt;&gt;"",'Your debts'!$F$11&lt;'Your debts'!$F$7),AG30,0)+IF(AND('Your debts'!$F$12&lt;&gt;"",'Your debts'!$F$7&lt;&gt;"",'Your debts'!$F$12&lt;'Your debts'!$F$7),AL30,0)+IF(AND('Your debts'!$F$13&lt;&gt;"",'Your debts'!$F$7&lt;&gt;"",'Your debts'!$F$13&lt;'Your debts'!$F$7),AQ30,0)+IF(AND('Your debts'!$F$14&lt;&gt;"",'Your debts'!$F$7&lt;&gt;"",'Your debts'!$F$14&lt;'Your debts'!$F$7),AV30,0)+IF(AND('Your debts'!$F$15&lt;&gt;"",'Your debts'!$F$7&lt;&gt;"",'Your debts'!$F$15&lt;'Your debts'!$F$7),BA30,0)))))</f>
        <v/>
      </c>
      <c r="O30" s="33">
        <f>M30-N30</f>
        <v/>
      </c>
      <c r="P30" s="33">
        <f>IF(T29&lt;=0,0,ROUND(T29*(1+'Your debts'!$D$8/1200),2))</f>
        <v/>
      </c>
      <c r="Q30" s="33">
        <f>IF(P30&lt;=0,0,MIN('Your debts'!$E$8,P30))</f>
        <v/>
      </c>
      <c r="R30" s="33">
        <f>P30-Q30</f>
        <v/>
      </c>
      <c r="S30" s="33">
        <f>IF('Your debts'!$F$8="",0,MIN(R30,MAX(0,MAX(0,'Your debts'!$C$19-(G30+L30+Q30+V30+AA30+AF30+AK30+AP30+AU30+AZ30))-(IF(AND('Your debts'!$F$6&lt;&gt;"",'Your debts'!$F$8&lt;&gt;"",'Your debts'!$F$6&lt;'Your debts'!$F$8),H30,0)+IF(AND('Your debts'!$F$7&lt;&gt;"",'Your debts'!$F$8&lt;&gt;"",'Your debts'!$F$7&lt;'Your debts'!$F$8),M30,0)+IF(AND('Your debts'!$F$9&lt;&gt;"",'Your debts'!$F$8&lt;&gt;"",'Your debts'!$F$9&lt;'Your debts'!$F$8),W30,0)+IF(AND('Your debts'!$F$10&lt;&gt;"",'Your debts'!$F$8&lt;&gt;"",'Your debts'!$F$10&lt;'Your debts'!$F$8),AB30,0)+IF(AND('Your debts'!$F$11&lt;&gt;"",'Your debts'!$F$8&lt;&gt;"",'Your debts'!$F$11&lt;'Your debts'!$F$8),AG30,0)+IF(AND('Your debts'!$F$12&lt;&gt;"",'Your debts'!$F$8&lt;&gt;"",'Your debts'!$F$12&lt;'Your debts'!$F$8),AL30,0)+IF(AND('Your debts'!$F$13&lt;&gt;"",'Your debts'!$F$8&lt;&gt;"",'Your debts'!$F$13&lt;'Your debts'!$F$8),AQ30,0)+IF(AND('Your debts'!$F$14&lt;&gt;"",'Your debts'!$F$8&lt;&gt;"",'Your debts'!$F$14&lt;'Your debts'!$F$8),AV30,0)+IF(AND('Your debts'!$F$15&lt;&gt;"",'Your debts'!$F$8&lt;&gt;"",'Your debts'!$F$15&lt;'Your debts'!$F$8),BA30,0)))))</f>
        <v/>
      </c>
      <c r="T30" s="33">
        <f>R30-S30</f>
        <v/>
      </c>
      <c r="U30" s="33">
        <f>IF(Y29&lt;=0,0,ROUND(Y29*(1+'Your debts'!$D$9/1200),2))</f>
        <v/>
      </c>
      <c r="V30" s="33">
        <f>IF(U30&lt;=0,0,MIN('Your debts'!$E$9,U30))</f>
        <v/>
      </c>
      <c r="W30" s="33">
        <f>U30-V30</f>
        <v/>
      </c>
      <c r="X30" s="33">
        <f>IF('Your debts'!$F$9="",0,MIN(W30,MAX(0,MAX(0,'Your debts'!$C$19-(G30+L30+Q30+V30+AA30+AF30+AK30+AP30+AU30+AZ30))-(IF(AND('Your debts'!$F$6&lt;&gt;"",'Your debts'!$F$9&lt;&gt;"",'Your debts'!$F$6&lt;'Your debts'!$F$9),H30,0)+IF(AND('Your debts'!$F$7&lt;&gt;"",'Your debts'!$F$9&lt;&gt;"",'Your debts'!$F$7&lt;'Your debts'!$F$9),M30,0)+IF(AND('Your debts'!$F$8&lt;&gt;"",'Your debts'!$F$9&lt;&gt;"",'Your debts'!$F$8&lt;'Your debts'!$F$9),R30,0)+IF(AND('Your debts'!$F$10&lt;&gt;"",'Your debts'!$F$9&lt;&gt;"",'Your debts'!$F$10&lt;'Your debts'!$F$9),AB30,0)+IF(AND('Your debts'!$F$11&lt;&gt;"",'Your debts'!$F$9&lt;&gt;"",'Your debts'!$F$11&lt;'Your debts'!$F$9),AG30,0)+IF(AND('Your debts'!$F$12&lt;&gt;"",'Your debts'!$F$9&lt;&gt;"",'Your debts'!$F$12&lt;'Your debts'!$F$9),AL30,0)+IF(AND('Your debts'!$F$13&lt;&gt;"",'Your debts'!$F$9&lt;&gt;"",'Your debts'!$F$13&lt;'Your debts'!$F$9),AQ30,0)+IF(AND('Your debts'!$F$14&lt;&gt;"",'Your debts'!$F$9&lt;&gt;"",'Your debts'!$F$14&lt;'Your debts'!$F$9),AV30,0)+IF(AND('Your debts'!$F$15&lt;&gt;"",'Your debts'!$F$9&lt;&gt;"",'Your debts'!$F$15&lt;'Your debts'!$F$9),BA30,0)))))</f>
        <v/>
      </c>
      <c r="Y30" s="33">
        <f>W30-X30</f>
        <v/>
      </c>
      <c r="Z30" s="33">
        <f>IF(AD29&lt;=0,0,ROUND(AD29*(1+'Your debts'!$D$10/1200),2))</f>
        <v/>
      </c>
      <c r="AA30" s="33">
        <f>IF(Z30&lt;=0,0,MIN('Your debts'!$E$10,Z30))</f>
        <v/>
      </c>
      <c r="AB30" s="33">
        <f>Z30-AA30</f>
        <v/>
      </c>
      <c r="AC30" s="33">
        <f>IF('Your debts'!$F$10="",0,MIN(AB30,MAX(0,MAX(0,'Your debts'!$C$19-(G30+L30+Q30+V30+AA30+AF30+AK30+AP30+AU30+AZ30))-(IF(AND('Your debts'!$F$6&lt;&gt;"",'Your debts'!$F$10&lt;&gt;"",'Your debts'!$F$6&lt;'Your debts'!$F$10),H30,0)+IF(AND('Your debts'!$F$7&lt;&gt;"",'Your debts'!$F$10&lt;&gt;"",'Your debts'!$F$7&lt;'Your debts'!$F$10),M30,0)+IF(AND('Your debts'!$F$8&lt;&gt;"",'Your debts'!$F$10&lt;&gt;"",'Your debts'!$F$8&lt;'Your debts'!$F$10),R30,0)+IF(AND('Your debts'!$F$9&lt;&gt;"",'Your debts'!$F$10&lt;&gt;"",'Your debts'!$F$9&lt;'Your debts'!$F$10),W30,0)+IF(AND('Your debts'!$F$11&lt;&gt;"",'Your debts'!$F$10&lt;&gt;"",'Your debts'!$F$11&lt;'Your debts'!$F$10),AG30,0)+IF(AND('Your debts'!$F$12&lt;&gt;"",'Your debts'!$F$10&lt;&gt;"",'Your debts'!$F$12&lt;'Your debts'!$F$10),AL30,0)+IF(AND('Your debts'!$F$13&lt;&gt;"",'Your debts'!$F$10&lt;&gt;"",'Your debts'!$F$13&lt;'Your debts'!$F$10),AQ30,0)+IF(AND('Your debts'!$F$14&lt;&gt;"",'Your debts'!$F$10&lt;&gt;"",'Your debts'!$F$14&lt;'Your debts'!$F$10),AV30,0)+IF(AND('Your debts'!$F$15&lt;&gt;"",'Your debts'!$F$10&lt;&gt;"",'Your debts'!$F$15&lt;'Your debts'!$F$10),BA30,0)))))</f>
        <v/>
      </c>
      <c r="AD30" s="33">
        <f>AB30-AC30</f>
        <v/>
      </c>
      <c r="AE30" s="33">
        <f>IF(AI29&lt;=0,0,ROUND(AI29*(1+'Your debts'!$D$11/1200),2))</f>
        <v/>
      </c>
      <c r="AF30" s="33">
        <f>IF(AE30&lt;=0,0,MIN('Your debts'!$E$11,AE30))</f>
        <v/>
      </c>
      <c r="AG30" s="33">
        <f>AE30-AF30</f>
        <v/>
      </c>
      <c r="AH30" s="33">
        <f>IF('Your debts'!$F$11="",0,MIN(AG30,MAX(0,MAX(0,'Your debts'!$C$19-(G30+L30+Q30+V30+AA30+AF30+AK30+AP30+AU30+AZ30))-(IF(AND('Your debts'!$F$6&lt;&gt;"",'Your debts'!$F$11&lt;&gt;"",'Your debts'!$F$6&lt;'Your debts'!$F$11),H30,0)+IF(AND('Your debts'!$F$7&lt;&gt;"",'Your debts'!$F$11&lt;&gt;"",'Your debts'!$F$7&lt;'Your debts'!$F$11),M30,0)+IF(AND('Your debts'!$F$8&lt;&gt;"",'Your debts'!$F$11&lt;&gt;"",'Your debts'!$F$8&lt;'Your debts'!$F$11),R30,0)+IF(AND('Your debts'!$F$9&lt;&gt;"",'Your debts'!$F$11&lt;&gt;"",'Your debts'!$F$9&lt;'Your debts'!$F$11),W30,0)+IF(AND('Your debts'!$F$10&lt;&gt;"",'Your debts'!$F$11&lt;&gt;"",'Your debts'!$F$10&lt;'Your debts'!$F$11),AB30,0)+IF(AND('Your debts'!$F$12&lt;&gt;"",'Your debts'!$F$11&lt;&gt;"",'Your debts'!$F$12&lt;'Your debts'!$F$11),AL30,0)+IF(AND('Your debts'!$F$13&lt;&gt;"",'Your debts'!$F$11&lt;&gt;"",'Your debts'!$F$13&lt;'Your debts'!$F$11),AQ30,0)+IF(AND('Your debts'!$F$14&lt;&gt;"",'Your debts'!$F$11&lt;&gt;"",'Your debts'!$F$14&lt;'Your debts'!$F$11),AV30,0)+IF(AND('Your debts'!$F$15&lt;&gt;"",'Your debts'!$F$11&lt;&gt;"",'Your debts'!$F$15&lt;'Your debts'!$F$11),BA30,0)))))</f>
        <v/>
      </c>
      <c r="AI30" s="33">
        <f>AG30-AH30</f>
        <v/>
      </c>
      <c r="AJ30" s="33">
        <f>IF(AN29&lt;=0,0,ROUND(AN29*(1+'Your debts'!$D$12/1200),2))</f>
        <v/>
      </c>
      <c r="AK30" s="33">
        <f>IF(AJ30&lt;=0,0,MIN('Your debts'!$E$12,AJ30))</f>
        <v/>
      </c>
      <c r="AL30" s="33">
        <f>AJ30-AK30</f>
        <v/>
      </c>
      <c r="AM30" s="33">
        <f>IF('Your debts'!$F$12="",0,MIN(AL30,MAX(0,MAX(0,'Your debts'!$C$19-(G30+L30+Q30+V30+AA30+AF30+AK30+AP30+AU30+AZ30))-(IF(AND('Your debts'!$F$6&lt;&gt;"",'Your debts'!$F$12&lt;&gt;"",'Your debts'!$F$6&lt;'Your debts'!$F$12),H30,0)+IF(AND('Your debts'!$F$7&lt;&gt;"",'Your debts'!$F$12&lt;&gt;"",'Your debts'!$F$7&lt;'Your debts'!$F$12),M30,0)+IF(AND('Your debts'!$F$8&lt;&gt;"",'Your debts'!$F$12&lt;&gt;"",'Your debts'!$F$8&lt;'Your debts'!$F$12),R30,0)+IF(AND('Your debts'!$F$9&lt;&gt;"",'Your debts'!$F$12&lt;&gt;"",'Your debts'!$F$9&lt;'Your debts'!$F$12),W30,0)+IF(AND('Your debts'!$F$10&lt;&gt;"",'Your debts'!$F$12&lt;&gt;"",'Your debts'!$F$10&lt;'Your debts'!$F$12),AB30,0)+IF(AND('Your debts'!$F$11&lt;&gt;"",'Your debts'!$F$12&lt;&gt;"",'Your debts'!$F$11&lt;'Your debts'!$F$12),AG30,0)+IF(AND('Your debts'!$F$13&lt;&gt;"",'Your debts'!$F$12&lt;&gt;"",'Your debts'!$F$13&lt;'Your debts'!$F$12),AQ30,0)+IF(AND('Your debts'!$F$14&lt;&gt;"",'Your debts'!$F$12&lt;&gt;"",'Your debts'!$F$14&lt;'Your debts'!$F$12),AV30,0)+IF(AND('Your debts'!$F$15&lt;&gt;"",'Your debts'!$F$12&lt;&gt;"",'Your debts'!$F$15&lt;'Your debts'!$F$12),BA30,0)))))</f>
        <v/>
      </c>
      <c r="AN30" s="33">
        <f>AL30-AM30</f>
        <v/>
      </c>
      <c r="AO30" s="33">
        <f>IF(AS29&lt;=0,0,ROUND(AS29*(1+'Your debts'!$D$13/1200),2))</f>
        <v/>
      </c>
      <c r="AP30" s="33">
        <f>IF(AO30&lt;=0,0,MIN('Your debts'!$E$13,AO30))</f>
        <v/>
      </c>
      <c r="AQ30" s="33">
        <f>AO30-AP30</f>
        <v/>
      </c>
      <c r="AR30" s="33">
        <f>IF('Your debts'!$F$13="",0,MIN(AQ30,MAX(0,MAX(0,'Your debts'!$C$19-(G30+L30+Q30+V30+AA30+AF30+AK30+AP30+AU30+AZ30))-(IF(AND('Your debts'!$F$6&lt;&gt;"",'Your debts'!$F$13&lt;&gt;"",'Your debts'!$F$6&lt;'Your debts'!$F$13),H30,0)+IF(AND('Your debts'!$F$7&lt;&gt;"",'Your debts'!$F$13&lt;&gt;"",'Your debts'!$F$7&lt;'Your debts'!$F$13),M30,0)+IF(AND('Your debts'!$F$8&lt;&gt;"",'Your debts'!$F$13&lt;&gt;"",'Your debts'!$F$8&lt;'Your debts'!$F$13),R30,0)+IF(AND('Your debts'!$F$9&lt;&gt;"",'Your debts'!$F$13&lt;&gt;"",'Your debts'!$F$9&lt;'Your debts'!$F$13),W30,0)+IF(AND('Your debts'!$F$10&lt;&gt;"",'Your debts'!$F$13&lt;&gt;"",'Your debts'!$F$10&lt;'Your debts'!$F$13),AB30,0)+IF(AND('Your debts'!$F$11&lt;&gt;"",'Your debts'!$F$13&lt;&gt;"",'Your debts'!$F$11&lt;'Your debts'!$F$13),AG30,0)+IF(AND('Your debts'!$F$12&lt;&gt;"",'Your debts'!$F$13&lt;&gt;"",'Your debts'!$F$12&lt;'Your debts'!$F$13),AL30,0)+IF(AND('Your debts'!$F$14&lt;&gt;"",'Your debts'!$F$13&lt;&gt;"",'Your debts'!$F$14&lt;'Your debts'!$F$13),AV30,0)+IF(AND('Your debts'!$F$15&lt;&gt;"",'Your debts'!$F$13&lt;&gt;"",'Your debts'!$F$15&lt;'Your debts'!$F$13),BA30,0)))))</f>
        <v/>
      </c>
      <c r="AS30" s="33">
        <f>AQ30-AR30</f>
        <v/>
      </c>
      <c r="AT30" s="33">
        <f>IF(AX29&lt;=0,0,ROUND(AX29*(1+'Your debts'!$D$14/1200),2))</f>
        <v/>
      </c>
      <c r="AU30" s="33">
        <f>IF(AT30&lt;=0,0,MIN('Your debts'!$E$14,AT30))</f>
        <v/>
      </c>
      <c r="AV30" s="33">
        <f>AT30-AU30</f>
        <v/>
      </c>
      <c r="AW30" s="33">
        <f>IF('Your debts'!$F$14="",0,MIN(AV30,MAX(0,MAX(0,'Your debts'!$C$19-(G30+L30+Q30+V30+AA30+AF30+AK30+AP30+AU30+AZ30))-(IF(AND('Your debts'!$F$6&lt;&gt;"",'Your debts'!$F$14&lt;&gt;"",'Your debts'!$F$6&lt;'Your debts'!$F$14),H30,0)+IF(AND('Your debts'!$F$7&lt;&gt;"",'Your debts'!$F$14&lt;&gt;"",'Your debts'!$F$7&lt;'Your debts'!$F$14),M30,0)+IF(AND('Your debts'!$F$8&lt;&gt;"",'Your debts'!$F$14&lt;&gt;"",'Your debts'!$F$8&lt;'Your debts'!$F$14),R30,0)+IF(AND('Your debts'!$F$9&lt;&gt;"",'Your debts'!$F$14&lt;&gt;"",'Your debts'!$F$9&lt;'Your debts'!$F$14),W30,0)+IF(AND('Your debts'!$F$10&lt;&gt;"",'Your debts'!$F$14&lt;&gt;"",'Your debts'!$F$10&lt;'Your debts'!$F$14),AB30,0)+IF(AND('Your debts'!$F$11&lt;&gt;"",'Your debts'!$F$14&lt;&gt;"",'Your debts'!$F$11&lt;'Your debts'!$F$14),AG30,0)+IF(AND('Your debts'!$F$12&lt;&gt;"",'Your debts'!$F$14&lt;&gt;"",'Your debts'!$F$12&lt;'Your debts'!$F$14),AL30,0)+IF(AND('Your debts'!$F$13&lt;&gt;"",'Your debts'!$F$14&lt;&gt;"",'Your debts'!$F$13&lt;'Your debts'!$F$14),AQ30,0)+IF(AND('Your debts'!$F$15&lt;&gt;"",'Your debts'!$F$14&lt;&gt;"",'Your debts'!$F$15&lt;'Your debts'!$F$14),BA30,0)))))</f>
        <v/>
      </c>
      <c r="AX30" s="33">
        <f>AV30-AW30</f>
        <v/>
      </c>
      <c r="AY30" s="33">
        <f>IF(BC29&lt;=0,0,ROUND(BC29*(1+'Your debts'!$D$15/1200),2))</f>
        <v/>
      </c>
      <c r="AZ30" s="33">
        <f>IF(AY30&lt;=0,0,MIN('Your debts'!$E$15,AY30))</f>
        <v/>
      </c>
      <c r="BA30" s="33">
        <f>AY30-AZ30</f>
        <v/>
      </c>
      <c r="BB30" s="33">
        <f>IF('Your debts'!$F$15="",0,MIN(BA30,MAX(0,MAX(0,'Your debts'!$C$19-(G30+L30+Q30+V30+AA30+AF30+AK30+AP30+AU30+AZ30))-(IF(AND('Your debts'!$F$6&lt;&gt;"",'Your debts'!$F$15&lt;&gt;"",'Your debts'!$F$6&lt;'Your debts'!$F$15),H30,0)+IF(AND('Your debts'!$F$7&lt;&gt;"",'Your debts'!$F$15&lt;&gt;"",'Your debts'!$F$7&lt;'Your debts'!$F$15),M30,0)+IF(AND('Your debts'!$F$8&lt;&gt;"",'Your debts'!$F$15&lt;&gt;"",'Your debts'!$F$8&lt;'Your debts'!$F$15),R30,0)+IF(AND('Your debts'!$F$9&lt;&gt;"",'Your debts'!$F$15&lt;&gt;"",'Your debts'!$F$9&lt;'Your debts'!$F$15),W30,0)+IF(AND('Your debts'!$F$10&lt;&gt;"",'Your debts'!$F$15&lt;&gt;"",'Your debts'!$F$10&lt;'Your debts'!$F$15),AB30,0)+IF(AND('Your debts'!$F$11&lt;&gt;"",'Your debts'!$F$15&lt;&gt;"",'Your debts'!$F$11&lt;'Your debts'!$F$15),AG30,0)+IF(AND('Your debts'!$F$12&lt;&gt;"",'Your debts'!$F$15&lt;&gt;"",'Your debts'!$F$12&lt;'Your debts'!$F$15),AL30,0)+IF(AND('Your debts'!$F$13&lt;&gt;"",'Your debts'!$F$15&lt;&gt;"",'Your debts'!$F$13&lt;'Your debts'!$F$15),AQ30,0)+IF(AND('Your debts'!$F$14&lt;&gt;"",'Your debts'!$F$15&lt;&gt;"",'Your debts'!$F$14&lt;'Your debts'!$F$15),AV30,0)))))</f>
        <v/>
      </c>
      <c r="BC30" s="33">
        <f>BA30-BB30</f>
        <v/>
      </c>
    </row>
    <row r="31">
      <c r="A31" s="30" t="n">
        <v>16</v>
      </c>
      <c r="B31" s="31">
        <f>EDATE($B$15,16)</f>
        <v/>
      </c>
      <c r="C31" s="32">
        <f>IF(J30&lt;=0,0,F31-J30)+IF(O30&lt;=0,0,K31-O30)+IF(T30&lt;=0,0,P31-T30)+IF(Y30&lt;=0,0,U31-Y30)+IF(AD30&lt;=0,0,Z31-AD30)+IF(AI30&lt;=0,0,AE31-AI30)+IF(AN30&lt;=0,0,AJ31-AN30)+IF(AS30&lt;=0,0,AO31-AS30)+IF(AX30&lt;=0,0,AT31-AX30)+IF(BC30&lt;=0,0,AY31-BC30)</f>
        <v/>
      </c>
      <c r="D31" s="32">
        <f>G31+I31+L31+N31+Q31+S31+V31+X31+AA31+AC31+AF31+AH31+AK31+AM31+AP31+AR31+AU31+AW31+AZ31+BB31</f>
        <v/>
      </c>
      <c r="E31" s="32">
        <f>J31+O31+T31+Y31+AD31+AI31+AN31+AS31+AX31+BC31</f>
        <v/>
      </c>
      <c r="F31" s="33">
        <f>IF(J30&lt;=0,0,ROUND(J30*(1+'Your debts'!$D$6/1200),2))</f>
        <v/>
      </c>
      <c r="G31" s="33">
        <f>IF(F31&lt;=0,0,MIN('Your debts'!$E$6,F31))</f>
        <v/>
      </c>
      <c r="H31" s="33">
        <f>F31-G31</f>
        <v/>
      </c>
      <c r="I31" s="33">
        <f>IF('Your debts'!$F$6="",0,MIN(H31,MAX(0,MAX(0,'Your debts'!$C$19-(G31+L31+Q31+V31+AA31+AF31+AK31+AP31+AU31+AZ31))-(IF(AND('Your debts'!$F$7&lt;&gt;"",'Your debts'!$F$6&lt;&gt;"",'Your debts'!$F$7&lt;'Your debts'!$F$6),M31,0)+IF(AND('Your debts'!$F$8&lt;&gt;"",'Your debts'!$F$6&lt;&gt;"",'Your debts'!$F$8&lt;'Your debts'!$F$6),R31,0)+IF(AND('Your debts'!$F$9&lt;&gt;"",'Your debts'!$F$6&lt;&gt;"",'Your debts'!$F$9&lt;'Your debts'!$F$6),W31,0)+IF(AND('Your debts'!$F$10&lt;&gt;"",'Your debts'!$F$6&lt;&gt;"",'Your debts'!$F$10&lt;'Your debts'!$F$6),AB31,0)+IF(AND('Your debts'!$F$11&lt;&gt;"",'Your debts'!$F$6&lt;&gt;"",'Your debts'!$F$11&lt;'Your debts'!$F$6),AG31,0)+IF(AND('Your debts'!$F$12&lt;&gt;"",'Your debts'!$F$6&lt;&gt;"",'Your debts'!$F$12&lt;'Your debts'!$F$6),AL31,0)+IF(AND('Your debts'!$F$13&lt;&gt;"",'Your debts'!$F$6&lt;&gt;"",'Your debts'!$F$13&lt;'Your debts'!$F$6),AQ31,0)+IF(AND('Your debts'!$F$14&lt;&gt;"",'Your debts'!$F$6&lt;&gt;"",'Your debts'!$F$14&lt;'Your debts'!$F$6),AV31,0)+IF(AND('Your debts'!$F$15&lt;&gt;"",'Your debts'!$F$6&lt;&gt;"",'Your debts'!$F$15&lt;'Your debts'!$F$6),BA31,0)))))</f>
        <v/>
      </c>
      <c r="J31" s="33">
        <f>H31-I31</f>
        <v/>
      </c>
      <c r="K31" s="33">
        <f>IF(O30&lt;=0,0,ROUND(O30*(1+'Your debts'!$D$7/1200),2))</f>
        <v/>
      </c>
      <c r="L31" s="33">
        <f>IF(K31&lt;=0,0,MIN('Your debts'!$E$7,K31))</f>
        <v/>
      </c>
      <c r="M31" s="33">
        <f>K31-L31</f>
        <v/>
      </c>
      <c r="N31" s="33">
        <f>IF('Your debts'!$F$7="",0,MIN(M31,MAX(0,MAX(0,'Your debts'!$C$19-(G31+L31+Q31+V31+AA31+AF31+AK31+AP31+AU31+AZ31))-(IF(AND('Your debts'!$F$6&lt;&gt;"",'Your debts'!$F$7&lt;&gt;"",'Your debts'!$F$6&lt;'Your debts'!$F$7),H31,0)+IF(AND('Your debts'!$F$8&lt;&gt;"",'Your debts'!$F$7&lt;&gt;"",'Your debts'!$F$8&lt;'Your debts'!$F$7),R31,0)+IF(AND('Your debts'!$F$9&lt;&gt;"",'Your debts'!$F$7&lt;&gt;"",'Your debts'!$F$9&lt;'Your debts'!$F$7),W31,0)+IF(AND('Your debts'!$F$10&lt;&gt;"",'Your debts'!$F$7&lt;&gt;"",'Your debts'!$F$10&lt;'Your debts'!$F$7),AB31,0)+IF(AND('Your debts'!$F$11&lt;&gt;"",'Your debts'!$F$7&lt;&gt;"",'Your debts'!$F$11&lt;'Your debts'!$F$7),AG31,0)+IF(AND('Your debts'!$F$12&lt;&gt;"",'Your debts'!$F$7&lt;&gt;"",'Your debts'!$F$12&lt;'Your debts'!$F$7),AL31,0)+IF(AND('Your debts'!$F$13&lt;&gt;"",'Your debts'!$F$7&lt;&gt;"",'Your debts'!$F$13&lt;'Your debts'!$F$7),AQ31,0)+IF(AND('Your debts'!$F$14&lt;&gt;"",'Your debts'!$F$7&lt;&gt;"",'Your debts'!$F$14&lt;'Your debts'!$F$7),AV31,0)+IF(AND('Your debts'!$F$15&lt;&gt;"",'Your debts'!$F$7&lt;&gt;"",'Your debts'!$F$15&lt;'Your debts'!$F$7),BA31,0)))))</f>
        <v/>
      </c>
      <c r="O31" s="33">
        <f>M31-N31</f>
        <v/>
      </c>
      <c r="P31" s="33">
        <f>IF(T30&lt;=0,0,ROUND(T30*(1+'Your debts'!$D$8/1200),2))</f>
        <v/>
      </c>
      <c r="Q31" s="33">
        <f>IF(P31&lt;=0,0,MIN('Your debts'!$E$8,P31))</f>
        <v/>
      </c>
      <c r="R31" s="33">
        <f>P31-Q31</f>
        <v/>
      </c>
      <c r="S31" s="33">
        <f>IF('Your debts'!$F$8="",0,MIN(R31,MAX(0,MAX(0,'Your debts'!$C$19-(G31+L31+Q31+V31+AA31+AF31+AK31+AP31+AU31+AZ31))-(IF(AND('Your debts'!$F$6&lt;&gt;"",'Your debts'!$F$8&lt;&gt;"",'Your debts'!$F$6&lt;'Your debts'!$F$8),H31,0)+IF(AND('Your debts'!$F$7&lt;&gt;"",'Your debts'!$F$8&lt;&gt;"",'Your debts'!$F$7&lt;'Your debts'!$F$8),M31,0)+IF(AND('Your debts'!$F$9&lt;&gt;"",'Your debts'!$F$8&lt;&gt;"",'Your debts'!$F$9&lt;'Your debts'!$F$8),W31,0)+IF(AND('Your debts'!$F$10&lt;&gt;"",'Your debts'!$F$8&lt;&gt;"",'Your debts'!$F$10&lt;'Your debts'!$F$8),AB31,0)+IF(AND('Your debts'!$F$11&lt;&gt;"",'Your debts'!$F$8&lt;&gt;"",'Your debts'!$F$11&lt;'Your debts'!$F$8),AG31,0)+IF(AND('Your debts'!$F$12&lt;&gt;"",'Your debts'!$F$8&lt;&gt;"",'Your debts'!$F$12&lt;'Your debts'!$F$8),AL31,0)+IF(AND('Your debts'!$F$13&lt;&gt;"",'Your debts'!$F$8&lt;&gt;"",'Your debts'!$F$13&lt;'Your debts'!$F$8),AQ31,0)+IF(AND('Your debts'!$F$14&lt;&gt;"",'Your debts'!$F$8&lt;&gt;"",'Your debts'!$F$14&lt;'Your debts'!$F$8),AV31,0)+IF(AND('Your debts'!$F$15&lt;&gt;"",'Your debts'!$F$8&lt;&gt;"",'Your debts'!$F$15&lt;'Your debts'!$F$8),BA31,0)))))</f>
        <v/>
      </c>
      <c r="T31" s="33">
        <f>R31-S31</f>
        <v/>
      </c>
      <c r="U31" s="33">
        <f>IF(Y30&lt;=0,0,ROUND(Y30*(1+'Your debts'!$D$9/1200),2))</f>
        <v/>
      </c>
      <c r="V31" s="33">
        <f>IF(U31&lt;=0,0,MIN('Your debts'!$E$9,U31))</f>
        <v/>
      </c>
      <c r="W31" s="33">
        <f>U31-V31</f>
        <v/>
      </c>
      <c r="X31" s="33">
        <f>IF('Your debts'!$F$9="",0,MIN(W31,MAX(0,MAX(0,'Your debts'!$C$19-(G31+L31+Q31+V31+AA31+AF31+AK31+AP31+AU31+AZ31))-(IF(AND('Your debts'!$F$6&lt;&gt;"",'Your debts'!$F$9&lt;&gt;"",'Your debts'!$F$6&lt;'Your debts'!$F$9),H31,0)+IF(AND('Your debts'!$F$7&lt;&gt;"",'Your debts'!$F$9&lt;&gt;"",'Your debts'!$F$7&lt;'Your debts'!$F$9),M31,0)+IF(AND('Your debts'!$F$8&lt;&gt;"",'Your debts'!$F$9&lt;&gt;"",'Your debts'!$F$8&lt;'Your debts'!$F$9),R31,0)+IF(AND('Your debts'!$F$10&lt;&gt;"",'Your debts'!$F$9&lt;&gt;"",'Your debts'!$F$10&lt;'Your debts'!$F$9),AB31,0)+IF(AND('Your debts'!$F$11&lt;&gt;"",'Your debts'!$F$9&lt;&gt;"",'Your debts'!$F$11&lt;'Your debts'!$F$9),AG31,0)+IF(AND('Your debts'!$F$12&lt;&gt;"",'Your debts'!$F$9&lt;&gt;"",'Your debts'!$F$12&lt;'Your debts'!$F$9),AL31,0)+IF(AND('Your debts'!$F$13&lt;&gt;"",'Your debts'!$F$9&lt;&gt;"",'Your debts'!$F$13&lt;'Your debts'!$F$9),AQ31,0)+IF(AND('Your debts'!$F$14&lt;&gt;"",'Your debts'!$F$9&lt;&gt;"",'Your debts'!$F$14&lt;'Your debts'!$F$9),AV31,0)+IF(AND('Your debts'!$F$15&lt;&gt;"",'Your debts'!$F$9&lt;&gt;"",'Your debts'!$F$15&lt;'Your debts'!$F$9),BA31,0)))))</f>
        <v/>
      </c>
      <c r="Y31" s="33">
        <f>W31-X31</f>
        <v/>
      </c>
      <c r="Z31" s="33">
        <f>IF(AD30&lt;=0,0,ROUND(AD30*(1+'Your debts'!$D$10/1200),2))</f>
        <v/>
      </c>
      <c r="AA31" s="33">
        <f>IF(Z31&lt;=0,0,MIN('Your debts'!$E$10,Z31))</f>
        <v/>
      </c>
      <c r="AB31" s="33">
        <f>Z31-AA31</f>
        <v/>
      </c>
      <c r="AC31" s="33">
        <f>IF('Your debts'!$F$10="",0,MIN(AB31,MAX(0,MAX(0,'Your debts'!$C$19-(G31+L31+Q31+V31+AA31+AF31+AK31+AP31+AU31+AZ31))-(IF(AND('Your debts'!$F$6&lt;&gt;"",'Your debts'!$F$10&lt;&gt;"",'Your debts'!$F$6&lt;'Your debts'!$F$10),H31,0)+IF(AND('Your debts'!$F$7&lt;&gt;"",'Your debts'!$F$10&lt;&gt;"",'Your debts'!$F$7&lt;'Your debts'!$F$10),M31,0)+IF(AND('Your debts'!$F$8&lt;&gt;"",'Your debts'!$F$10&lt;&gt;"",'Your debts'!$F$8&lt;'Your debts'!$F$10),R31,0)+IF(AND('Your debts'!$F$9&lt;&gt;"",'Your debts'!$F$10&lt;&gt;"",'Your debts'!$F$9&lt;'Your debts'!$F$10),W31,0)+IF(AND('Your debts'!$F$11&lt;&gt;"",'Your debts'!$F$10&lt;&gt;"",'Your debts'!$F$11&lt;'Your debts'!$F$10),AG31,0)+IF(AND('Your debts'!$F$12&lt;&gt;"",'Your debts'!$F$10&lt;&gt;"",'Your debts'!$F$12&lt;'Your debts'!$F$10),AL31,0)+IF(AND('Your debts'!$F$13&lt;&gt;"",'Your debts'!$F$10&lt;&gt;"",'Your debts'!$F$13&lt;'Your debts'!$F$10),AQ31,0)+IF(AND('Your debts'!$F$14&lt;&gt;"",'Your debts'!$F$10&lt;&gt;"",'Your debts'!$F$14&lt;'Your debts'!$F$10),AV31,0)+IF(AND('Your debts'!$F$15&lt;&gt;"",'Your debts'!$F$10&lt;&gt;"",'Your debts'!$F$15&lt;'Your debts'!$F$10),BA31,0)))))</f>
        <v/>
      </c>
      <c r="AD31" s="33">
        <f>AB31-AC31</f>
        <v/>
      </c>
      <c r="AE31" s="33">
        <f>IF(AI30&lt;=0,0,ROUND(AI30*(1+'Your debts'!$D$11/1200),2))</f>
        <v/>
      </c>
      <c r="AF31" s="33">
        <f>IF(AE31&lt;=0,0,MIN('Your debts'!$E$11,AE31))</f>
        <v/>
      </c>
      <c r="AG31" s="33">
        <f>AE31-AF31</f>
        <v/>
      </c>
      <c r="AH31" s="33">
        <f>IF('Your debts'!$F$11="",0,MIN(AG31,MAX(0,MAX(0,'Your debts'!$C$19-(G31+L31+Q31+V31+AA31+AF31+AK31+AP31+AU31+AZ31))-(IF(AND('Your debts'!$F$6&lt;&gt;"",'Your debts'!$F$11&lt;&gt;"",'Your debts'!$F$6&lt;'Your debts'!$F$11),H31,0)+IF(AND('Your debts'!$F$7&lt;&gt;"",'Your debts'!$F$11&lt;&gt;"",'Your debts'!$F$7&lt;'Your debts'!$F$11),M31,0)+IF(AND('Your debts'!$F$8&lt;&gt;"",'Your debts'!$F$11&lt;&gt;"",'Your debts'!$F$8&lt;'Your debts'!$F$11),R31,0)+IF(AND('Your debts'!$F$9&lt;&gt;"",'Your debts'!$F$11&lt;&gt;"",'Your debts'!$F$9&lt;'Your debts'!$F$11),W31,0)+IF(AND('Your debts'!$F$10&lt;&gt;"",'Your debts'!$F$11&lt;&gt;"",'Your debts'!$F$10&lt;'Your debts'!$F$11),AB31,0)+IF(AND('Your debts'!$F$12&lt;&gt;"",'Your debts'!$F$11&lt;&gt;"",'Your debts'!$F$12&lt;'Your debts'!$F$11),AL31,0)+IF(AND('Your debts'!$F$13&lt;&gt;"",'Your debts'!$F$11&lt;&gt;"",'Your debts'!$F$13&lt;'Your debts'!$F$11),AQ31,0)+IF(AND('Your debts'!$F$14&lt;&gt;"",'Your debts'!$F$11&lt;&gt;"",'Your debts'!$F$14&lt;'Your debts'!$F$11),AV31,0)+IF(AND('Your debts'!$F$15&lt;&gt;"",'Your debts'!$F$11&lt;&gt;"",'Your debts'!$F$15&lt;'Your debts'!$F$11),BA31,0)))))</f>
        <v/>
      </c>
      <c r="AI31" s="33">
        <f>AG31-AH31</f>
        <v/>
      </c>
      <c r="AJ31" s="33">
        <f>IF(AN30&lt;=0,0,ROUND(AN30*(1+'Your debts'!$D$12/1200),2))</f>
        <v/>
      </c>
      <c r="AK31" s="33">
        <f>IF(AJ31&lt;=0,0,MIN('Your debts'!$E$12,AJ31))</f>
        <v/>
      </c>
      <c r="AL31" s="33">
        <f>AJ31-AK31</f>
        <v/>
      </c>
      <c r="AM31" s="33">
        <f>IF('Your debts'!$F$12="",0,MIN(AL31,MAX(0,MAX(0,'Your debts'!$C$19-(G31+L31+Q31+V31+AA31+AF31+AK31+AP31+AU31+AZ31))-(IF(AND('Your debts'!$F$6&lt;&gt;"",'Your debts'!$F$12&lt;&gt;"",'Your debts'!$F$6&lt;'Your debts'!$F$12),H31,0)+IF(AND('Your debts'!$F$7&lt;&gt;"",'Your debts'!$F$12&lt;&gt;"",'Your debts'!$F$7&lt;'Your debts'!$F$12),M31,0)+IF(AND('Your debts'!$F$8&lt;&gt;"",'Your debts'!$F$12&lt;&gt;"",'Your debts'!$F$8&lt;'Your debts'!$F$12),R31,0)+IF(AND('Your debts'!$F$9&lt;&gt;"",'Your debts'!$F$12&lt;&gt;"",'Your debts'!$F$9&lt;'Your debts'!$F$12),W31,0)+IF(AND('Your debts'!$F$10&lt;&gt;"",'Your debts'!$F$12&lt;&gt;"",'Your debts'!$F$10&lt;'Your debts'!$F$12),AB31,0)+IF(AND('Your debts'!$F$11&lt;&gt;"",'Your debts'!$F$12&lt;&gt;"",'Your debts'!$F$11&lt;'Your debts'!$F$12),AG31,0)+IF(AND('Your debts'!$F$13&lt;&gt;"",'Your debts'!$F$12&lt;&gt;"",'Your debts'!$F$13&lt;'Your debts'!$F$12),AQ31,0)+IF(AND('Your debts'!$F$14&lt;&gt;"",'Your debts'!$F$12&lt;&gt;"",'Your debts'!$F$14&lt;'Your debts'!$F$12),AV31,0)+IF(AND('Your debts'!$F$15&lt;&gt;"",'Your debts'!$F$12&lt;&gt;"",'Your debts'!$F$15&lt;'Your debts'!$F$12),BA31,0)))))</f>
        <v/>
      </c>
      <c r="AN31" s="33">
        <f>AL31-AM31</f>
        <v/>
      </c>
      <c r="AO31" s="33">
        <f>IF(AS30&lt;=0,0,ROUND(AS30*(1+'Your debts'!$D$13/1200),2))</f>
        <v/>
      </c>
      <c r="AP31" s="33">
        <f>IF(AO31&lt;=0,0,MIN('Your debts'!$E$13,AO31))</f>
        <v/>
      </c>
      <c r="AQ31" s="33">
        <f>AO31-AP31</f>
        <v/>
      </c>
      <c r="AR31" s="33">
        <f>IF('Your debts'!$F$13="",0,MIN(AQ31,MAX(0,MAX(0,'Your debts'!$C$19-(G31+L31+Q31+V31+AA31+AF31+AK31+AP31+AU31+AZ31))-(IF(AND('Your debts'!$F$6&lt;&gt;"",'Your debts'!$F$13&lt;&gt;"",'Your debts'!$F$6&lt;'Your debts'!$F$13),H31,0)+IF(AND('Your debts'!$F$7&lt;&gt;"",'Your debts'!$F$13&lt;&gt;"",'Your debts'!$F$7&lt;'Your debts'!$F$13),M31,0)+IF(AND('Your debts'!$F$8&lt;&gt;"",'Your debts'!$F$13&lt;&gt;"",'Your debts'!$F$8&lt;'Your debts'!$F$13),R31,0)+IF(AND('Your debts'!$F$9&lt;&gt;"",'Your debts'!$F$13&lt;&gt;"",'Your debts'!$F$9&lt;'Your debts'!$F$13),W31,0)+IF(AND('Your debts'!$F$10&lt;&gt;"",'Your debts'!$F$13&lt;&gt;"",'Your debts'!$F$10&lt;'Your debts'!$F$13),AB31,0)+IF(AND('Your debts'!$F$11&lt;&gt;"",'Your debts'!$F$13&lt;&gt;"",'Your debts'!$F$11&lt;'Your debts'!$F$13),AG31,0)+IF(AND('Your debts'!$F$12&lt;&gt;"",'Your debts'!$F$13&lt;&gt;"",'Your debts'!$F$12&lt;'Your debts'!$F$13),AL31,0)+IF(AND('Your debts'!$F$14&lt;&gt;"",'Your debts'!$F$13&lt;&gt;"",'Your debts'!$F$14&lt;'Your debts'!$F$13),AV31,0)+IF(AND('Your debts'!$F$15&lt;&gt;"",'Your debts'!$F$13&lt;&gt;"",'Your debts'!$F$15&lt;'Your debts'!$F$13),BA31,0)))))</f>
        <v/>
      </c>
      <c r="AS31" s="33">
        <f>AQ31-AR31</f>
        <v/>
      </c>
      <c r="AT31" s="33">
        <f>IF(AX30&lt;=0,0,ROUND(AX30*(1+'Your debts'!$D$14/1200),2))</f>
        <v/>
      </c>
      <c r="AU31" s="33">
        <f>IF(AT31&lt;=0,0,MIN('Your debts'!$E$14,AT31))</f>
        <v/>
      </c>
      <c r="AV31" s="33">
        <f>AT31-AU31</f>
        <v/>
      </c>
      <c r="AW31" s="33">
        <f>IF('Your debts'!$F$14="",0,MIN(AV31,MAX(0,MAX(0,'Your debts'!$C$19-(G31+L31+Q31+V31+AA31+AF31+AK31+AP31+AU31+AZ31))-(IF(AND('Your debts'!$F$6&lt;&gt;"",'Your debts'!$F$14&lt;&gt;"",'Your debts'!$F$6&lt;'Your debts'!$F$14),H31,0)+IF(AND('Your debts'!$F$7&lt;&gt;"",'Your debts'!$F$14&lt;&gt;"",'Your debts'!$F$7&lt;'Your debts'!$F$14),M31,0)+IF(AND('Your debts'!$F$8&lt;&gt;"",'Your debts'!$F$14&lt;&gt;"",'Your debts'!$F$8&lt;'Your debts'!$F$14),R31,0)+IF(AND('Your debts'!$F$9&lt;&gt;"",'Your debts'!$F$14&lt;&gt;"",'Your debts'!$F$9&lt;'Your debts'!$F$14),W31,0)+IF(AND('Your debts'!$F$10&lt;&gt;"",'Your debts'!$F$14&lt;&gt;"",'Your debts'!$F$10&lt;'Your debts'!$F$14),AB31,0)+IF(AND('Your debts'!$F$11&lt;&gt;"",'Your debts'!$F$14&lt;&gt;"",'Your debts'!$F$11&lt;'Your debts'!$F$14),AG31,0)+IF(AND('Your debts'!$F$12&lt;&gt;"",'Your debts'!$F$14&lt;&gt;"",'Your debts'!$F$12&lt;'Your debts'!$F$14),AL31,0)+IF(AND('Your debts'!$F$13&lt;&gt;"",'Your debts'!$F$14&lt;&gt;"",'Your debts'!$F$13&lt;'Your debts'!$F$14),AQ31,0)+IF(AND('Your debts'!$F$15&lt;&gt;"",'Your debts'!$F$14&lt;&gt;"",'Your debts'!$F$15&lt;'Your debts'!$F$14),BA31,0)))))</f>
        <v/>
      </c>
      <c r="AX31" s="33">
        <f>AV31-AW31</f>
        <v/>
      </c>
      <c r="AY31" s="33">
        <f>IF(BC30&lt;=0,0,ROUND(BC30*(1+'Your debts'!$D$15/1200),2))</f>
        <v/>
      </c>
      <c r="AZ31" s="33">
        <f>IF(AY31&lt;=0,0,MIN('Your debts'!$E$15,AY31))</f>
        <v/>
      </c>
      <c r="BA31" s="33">
        <f>AY31-AZ31</f>
        <v/>
      </c>
      <c r="BB31" s="33">
        <f>IF('Your debts'!$F$15="",0,MIN(BA31,MAX(0,MAX(0,'Your debts'!$C$19-(G31+L31+Q31+V31+AA31+AF31+AK31+AP31+AU31+AZ31))-(IF(AND('Your debts'!$F$6&lt;&gt;"",'Your debts'!$F$15&lt;&gt;"",'Your debts'!$F$6&lt;'Your debts'!$F$15),H31,0)+IF(AND('Your debts'!$F$7&lt;&gt;"",'Your debts'!$F$15&lt;&gt;"",'Your debts'!$F$7&lt;'Your debts'!$F$15),M31,0)+IF(AND('Your debts'!$F$8&lt;&gt;"",'Your debts'!$F$15&lt;&gt;"",'Your debts'!$F$8&lt;'Your debts'!$F$15),R31,0)+IF(AND('Your debts'!$F$9&lt;&gt;"",'Your debts'!$F$15&lt;&gt;"",'Your debts'!$F$9&lt;'Your debts'!$F$15),W31,0)+IF(AND('Your debts'!$F$10&lt;&gt;"",'Your debts'!$F$15&lt;&gt;"",'Your debts'!$F$10&lt;'Your debts'!$F$15),AB31,0)+IF(AND('Your debts'!$F$11&lt;&gt;"",'Your debts'!$F$15&lt;&gt;"",'Your debts'!$F$11&lt;'Your debts'!$F$15),AG31,0)+IF(AND('Your debts'!$F$12&lt;&gt;"",'Your debts'!$F$15&lt;&gt;"",'Your debts'!$F$12&lt;'Your debts'!$F$15),AL31,0)+IF(AND('Your debts'!$F$13&lt;&gt;"",'Your debts'!$F$15&lt;&gt;"",'Your debts'!$F$13&lt;'Your debts'!$F$15),AQ31,0)+IF(AND('Your debts'!$F$14&lt;&gt;"",'Your debts'!$F$15&lt;&gt;"",'Your debts'!$F$14&lt;'Your debts'!$F$15),AV31,0)))))</f>
        <v/>
      </c>
      <c r="BC31" s="33">
        <f>BA31-BB31</f>
        <v/>
      </c>
    </row>
    <row r="32">
      <c r="A32" s="30" t="n">
        <v>17</v>
      </c>
      <c r="B32" s="31">
        <f>EDATE($B$15,17)</f>
        <v/>
      </c>
      <c r="C32" s="32">
        <f>IF(J31&lt;=0,0,F32-J31)+IF(O31&lt;=0,0,K32-O31)+IF(T31&lt;=0,0,P32-T31)+IF(Y31&lt;=0,0,U32-Y31)+IF(AD31&lt;=0,0,Z32-AD31)+IF(AI31&lt;=0,0,AE32-AI31)+IF(AN31&lt;=0,0,AJ32-AN31)+IF(AS31&lt;=0,0,AO32-AS31)+IF(AX31&lt;=0,0,AT32-AX31)+IF(BC31&lt;=0,0,AY32-BC31)</f>
        <v/>
      </c>
      <c r="D32" s="32">
        <f>G32+I32+L32+N32+Q32+S32+V32+X32+AA32+AC32+AF32+AH32+AK32+AM32+AP32+AR32+AU32+AW32+AZ32+BB32</f>
        <v/>
      </c>
      <c r="E32" s="32">
        <f>J32+O32+T32+Y32+AD32+AI32+AN32+AS32+AX32+BC32</f>
        <v/>
      </c>
      <c r="F32" s="33">
        <f>IF(J31&lt;=0,0,ROUND(J31*(1+'Your debts'!$D$6/1200),2))</f>
        <v/>
      </c>
      <c r="G32" s="33">
        <f>IF(F32&lt;=0,0,MIN('Your debts'!$E$6,F32))</f>
        <v/>
      </c>
      <c r="H32" s="33">
        <f>F32-G32</f>
        <v/>
      </c>
      <c r="I32" s="33">
        <f>IF('Your debts'!$F$6="",0,MIN(H32,MAX(0,MAX(0,'Your debts'!$C$19-(G32+L32+Q32+V32+AA32+AF32+AK32+AP32+AU32+AZ32))-(IF(AND('Your debts'!$F$7&lt;&gt;"",'Your debts'!$F$6&lt;&gt;"",'Your debts'!$F$7&lt;'Your debts'!$F$6),M32,0)+IF(AND('Your debts'!$F$8&lt;&gt;"",'Your debts'!$F$6&lt;&gt;"",'Your debts'!$F$8&lt;'Your debts'!$F$6),R32,0)+IF(AND('Your debts'!$F$9&lt;&gt;"",'Your debts'!$F$6&lt;&gt;"",'Your debts'!$F$9&lt;'Your debts'!$F$6),W32,0)+IF(AND('Your debts'!$F$10&lt;&gt;"",'Your debts'!$F$6&lt;&gt;"",'Your debts'!$F$10&lt;'Your debts'!$F$6),AB32,0)+IF(AND('Your debts'!$F$11&lt;&gt;"",'Your debts'!$F$6&lt;&gt;"",'Your debts'!$F$11&lt;'Your debts'!$F$6),AG32,0)+IF(AND('Your debts'!$F$12&lt;&gt;"",'Your debts'!$F$6&lt;&gt;"",'Your debts'!$F$12&lt;'Your debts'!$F$6),AL32,0)+IF(AND('Your debts'!$F$13&lt;&gt;"",'Your debts'!$F$6&lt;&gt;"",'Your debts'!$F$13&lt;'Your debts'!$F$6),AQ32,0)+IF(AND('Your debts'!$F$14&lt;&gt;"",'Your debts'!$F$6&lt;&gt;"",'Your debts'!$F$14&lt;'Your debts'!$F$6),AV32,0)+IF(AND('Your debts'!$F$15&lt;&gt;"",'Your debts'!$F$6&lt;&gt;"",'Your debts'!$F$15&lt;'Your debts'!$F$6),BA32,0)))))</f>
        <v/>
      </c>
      <c r="J32" s="33">
        <f>H32-I32</f>
        <v/>
      </c>
      <c r="K32" s="33">
        <f>IF(O31&lt;=0,0,ROUND(O31*(1+'Your debts'!$D$7/1200),2))</f>
        <v/>
      </c>
      <c r="L32" s="33">
        <f>IF(K32&lt;=0,0,MIN('Your debts'!$E$7,K32))</f>
        <v/>
      </c>
      <c r="M32" s="33">
        <f>K32-L32</f>
        <v/>
      </c>
      <c r="N32" s="33">
        <f>IF('Your debts'!$F$7="",0,MIN(M32,MAX(0,MAX(0,'Your debts'!$C$19-(G32+L32+Q32+V32+AA32+AF32+AK32+AP32+AU32+AZ32))-(IF(AND('Your debts'!$F$6&lt;&gt;"",'Your debts'!$F$7&lt;&gt;"",'Your debts'!$F$6&lt;'Your debts'!$F$7),H32,0)+IF(AND('Your debts'!$F$8&lt;&gt;"",'Your debts'!$F$7&lt;&gt;"",'Your debts'!$F$8&lt;'Your debts'!$F$7),R32,0)+IF(AND('Your debts'!$F$9&lt;&gt;"",'Your debts'!$F$7&lt;&gt;"",'Your debts'!$F$9&lt;'Your debts'!$F$7),W32,0)+IF(AND('Your debts'!$F$10&lt;&gt;"",'Your debts'!$F$7&lt;&gt;"",'Your debts'!$F$10&lt;'Your debts'!$F$7),AB32,0)+IF(AND('Your debts'!$F$11&lt;&gt;"",'Your debts'!$F$7&lt;&gt;"",'Your debts'!$F$11&lt;'Your debts'!$F$7),AG32,0)+IF(AND('Your debts'!$F$12&lt;&gt;"",'Your debts'!$F$7&lt;&gt;"",'Your debts'!$F$12&lt;'Your debts'!$F$7),AL32,0)+IF(AND('Your debts'!$F$13&lt;&gt;"",'Your debts'!$F$7&lt;&gt;"",'Your debts'!$F$13&lt;'Your debts'!$F$7),AQ32,0)+IF(AND('Your debts'!$F$14&lt;&gt;"",'Your debts'!$F$7&lt;&gt;"",'Your debts'!$F$14&lt;'Your debts'!$F$7),AV32,0)+IF(AND('Your debts'!$F$15&lt;&gt;"",'Your debts'!$F$7&lt;&gt;"",'Your debts'!$F$15&lt;'Your debts'!$F$7),BA32,0)))))</f>
        <v/>
      </c>
      <c r="O32" s="33">
        <f>M32-N32</f>
        <v/>
      </c>
      <c r="P32" s="33">
        <f>IF(T31&lt;=0,0,ROUND(T31*(1+'Your debts'!$D$8/1200),2))</f>
        <v/>
      </c>
      <c r="Q32" s="33">
        <f>IF(P32&lt;=0,0,MIN('Your debts'!$E$8,P32))</f>
        <v/>
      </c>
      <c r="R32" s="33">
        <f>P32-Q32</f>
        <v/>
      </c>
      <c r="S32" s="33">
        <f>IF('Your debts'!$F$8="",0,MIN(R32,MAX(0,MAX(0,'Your debts'!$C$19-(G32+L32+Q32+V32+AA32+AF32+AK32+AP32+AU32+AZ32))-(IF(AND('Your debts'!$F$6&lt;&gt;"",'Your debts'!$F$8&lt;&gt;"",'Your debts'!$F$6&lt;'Your debts'!$F$8),H32,0)+IF(AND('Your debts'!$F$7&lt;&gt;"",'Your debts'!$F$8&lt;&gt;"",'Your debts'!$F$7&lt;'Your debts'!$F$8),M32,0)+IF(AND('Your debts'!$F$9&lt;&gt;"",'Your debts'!$F$8&lt;&gt;"",'Your debts'!$F$9&lt;'Your debts'!$F$8),W32,0)+IF(AND('Your debts'!$F$10&lt;&gt;"",'Your debts'!$F$8&lt;&gt;"",'Your debts'!$F$10&lt;'Your debts'!$F$8),AB32,0)+IF(AND('Your debts'!$F$11&lt;&gt;"",'Your debts'!$F$8&lt;&gt;"",'Your debts'!$F$11&lt;'Your debts'!$F$8),AG32,0)+IF(AND('Your debts'!$F$12&lt;&gt;"",'Your debts'!$F$8&lt;&gt;"",'Your debts'!$F$12&lt;'Your debts'!$F$8),AL32,0)+IF(AND('Your debts'!$F$13&lt;&gt;"",'Your debts'!$F$8&lt;&gt;"",'Your debts'!$F$13&lt;'Your debts'!$F$8),AQ32,0)+IF(AND('Your debts'!$F$14&lt;&gt;"",'Your debts'!$F$8&lt;&gt;"",'Your debts'!$F$14&lt;'Your debts'!$F$8),AV32,0)+IF(AND('Your debts'!$F$15&lt;&gt;"",'Your debts'!$F$8&lt;&gt;"",'Your debts'!$F$15&lt;'Your debts'!$F$8),BA32,0)))))</f>
        <v/>
      </c>
      <c r="T32" s="33">
        <f>R32-S32</f>
        <v/>
      </c>
      <c r="U32" s="33">
        <f>IF(Y31&lt;=0,0,ROUND(Y31*(1+'Your debts'!$D$9/1200),2))</f>
        <v/>
      </c>
      <c r="V32" s="33">
        <f>IF(U32&lt;=0,0,MIN('Your debts'!$E$9,U32))</f>
        <v/>
      </c>
      <c r="W32" s="33">
        <f>U32-V32</f>
        <v/>
      </c>
      <c r="X32" s="33">
        <f>IF('Your debts'!$F$9="",0,MIN(W32,MAX(0,MAX(0,'Your debts'!$C$19-(G32+L32+Q32+V32+AA32+AF32+AK32+AP32+AU32+AZ32))-(IF(AND('Your debts'!$F$6&lt;&gt;"",'Your debts'!$F$9&lt;&gt;"",'Your debts'!$F$6&lt;'Your debts'!$F$9),H32,0)+IF(AND('Your debts'!$F$7&lt;&gt;"",'Your debts'!$F$9&lt;&gt;"",'Your debts'!$F$7&lt;'Your debts'!$F$9),M32,0)+IF(AND('Your debts'!$F$8&lt;&gt;"",'Your debts'!$F$9&lt;&gt;"",'Your debts'!$F$8&lt;'Your debts'!$F$9),R32,0)+IF(AND('Your debts'!$F$10&lt;&gt;"",'Your debts'!$F$9&lt;&gt;"",'Your debts'!$F$10&lt;'Your debts'!$F$9),AB32,0)+IF(AND('Your debts'!$F$11&lt;&gt;"",'Your debts'!$F$9&lt;&gt;"",'Your debts'!$F$11&lt;'Your debts'!$F$9),AG32,0)+IF(AND('Your debts'!$F$12&lt;&gt;"",'Your debts'!$F$9&lt;&gt;"",'Your debts'!$F$12&lt;'Your debts'!$F$9),AL32,0)+IF(AND('Your debts'!$F$13&lt;&gt;"",'Your debts'!$F$9&lt;&gt;"",'Your debts'!$F$13&lt;'Your debts'!$F$9),AQ32,0)+IF(AND('Your debts'!$F$14&lt;&gt;"",'Your debts'!$F$9&lt;&gt;"",'Your debts'!$F$14&lt;'Your debts'!$F$9),AV32,0)+IF(AND('Your debts'!$F$15&lt;&gt;"",'Your debts'!$F$9&lt;&gt;"",'Your debts'!$F$15&lt;'Your debts'!$F$9),BA32,0)))))</f>
        <v/>
      </c>
      <c r="Y32" s="33">
        <f>W32-X32</f>
        <v/>
      </c>
      <c r="Z32" s="33">
        <f>IF(AD31&lt;=0,0,ROUND(AD31*(1+'Your debts'!$D$10/1200),2))</f>
        <v/>
      </c>
      <c r="AA32" s="33">
        <f>IF(Z32&lt;=0,0,MIN('Your debts'!$E$10,Z32))</f>
        <v/>
      </c>
      <c r="AB32" s="33">
        <f>Z32-AA32</f>
        <v/>
      </c>
      <c r="AC32" s="33">
        <f>IF('Your debts'!$F$10="",0,MIN(AB32,MAX(0,MAX(0,'Your debts'!$C$19-(G32+L32+Q32+V32+AA32+AF32+AK32+AP32+AU32+AZ32))-(IF(AND('Your debts'!$F$6&lt;&gt;"",'Your debts'!$F$10&lt;&gt;"",'Your debts'!$F$6&lt;'Your debts'!$F$10),H32,0)+IF(AND('Your debts'!$F$7&lt;&gt;"",'Your debts'!$F$10&lt;&gt;"",'Your debts'!$F$7&lt;'Your debts'!$F$10),M32,0)+IF(AND('Your debts'!$F$8&lt;&gt;"",'Your debts'!$F$10&lt;&gt;"",'Your debts'!$F$8&lt;'Your debts'!$F$10),R32,0)+IF(AND('Your debts'!$F$9&lt;&gt;"",'Your debts'!$F$10&lt;&gt;"",'Your debts'!$F$9&lt;'Your debts'!$F$10),W32,0)+IF(AND('Your debts'!$F$11&lt;&gt;"",'Your debts'!$F$10&lt;&gt;"",'Your debts'!$F$11&lt;'Your debts'!$F$10),AG32,0)+IF(AND('Your debts'!$F$12&lt;&gt;"",'Your debts'!$F$10&lt;&gt;"",'Your debts'!$F$12&lt;'Your debts'!$F$10),AL32,0)+IF(AND('Your debts'!$F$13&lt;&gt;"",'Your debts'!$F$10&lt;&gt;"",'Your debts'!$F$13&lt;'Your debts'!$F$10),AQ32,0)+IF(AND('Your debts'!$F$14&lt;&gt;"",'Your debts'!$F$10&lt;&gt;"",'Your debts'!$F$14&lt;'Your debts'!$F$10),AV32,0)+IF(AND('Your debts'!$F$15&lt;&gt;"",'Your debts'!$F$10&lt;&gt;"",'Your debts'!$F$15&lt;'Your debts'!$F$10),BA32,0)))))</f>
        <v/>
      </c>
      <c r="AD32" s="33">
        <f>AB32-AC32</f>
        <v/>
      </c>
      <c r="AE32" s="33">
        <f>IF(AI31&lt;=0,0,ROUND(AI31*(1+'Your debts'!$D$11/1200),2))</f>
        <v/>
      </c>
      <c r="AF32" s="33">
        <f>IF(AE32&lt;=0,0,MIN('Your debts'!$E$11,AE32))</f>
        <v/>
      </c>
      <c r="AG32" s="33">
        <f>AE32-AF32</f>
        <v/>
      </c>
      <c r="AH32" s="33">
        <f>IF('Your debts'!$F$11="",0,MIN(AG32,MAX(0,MAX(0,'Your debts'!$C$19-(G32+L32+Q32+V32+AA32+AF32+AK32+AP32+AU32+AZ32))-(IF(AND('Your debts'!$F$6&lt;&gt;"",'Your debts'!$F$11&lt;&gt;"",'Your debts'!$F$6&lt;'Your debts'!$F$11),H32,0)+IF(AND('Your debts'!$F$7&lt;&gt;"",'Your debts'!$F$11&lt;&gt;"",'Your debts'!$F$7&lt;'Your debts'!$F$11),M32,0)+IF(AND('Your debts'!$F$8&lt;&gt;"",'Your debts'!$F$11&lt;&gt;"",'Your debts'!$F$8&lt;'Your debts'!$F$11),R32,0)+IF(AND('Your debts'!$F$9&lt;&gt;"",'Your debts'!$F$11&lt;&gt;"",'Your debts'!$F$9&lt;'Your debts'!$F$11),W32,0)+IF(AND('Your debts'!$F$10&lt;&gt;"",'Your debts'!$F$11&lt;&gt;"",'Your debts'!$F$10&lt;'Your debts'!$F$11),AB32,0)+IF(AND('Your debts'!$F$12&lt;&gt;"",'Your debts'!$F$11&lt;&gt;"",'Your debts'!$F$12&lt;'Your debts'!$F$11),AL32,0)+IF(AND('Your debts'!$F$13&lt;&gt;"",'Your debts'!$F$11&lt;&gt;"",'Your debts'!$F$13&lt;'Your debts'!$F$11),AQ32,0)+IF(AND('Your debts'!$F$14&lt;&gt;"",'Your debts'!$F$11&lt;&gt;"",'Your debts'!$F$14&lt;'Your debts'!$F$11),AV32,0)+IF(AND('Your debts'!$F$15&lt;&gt;"",'Your debts'!$F$11&lt;&gt;"",'Your debts'!$F$15&lt;'Your debts'!$F$11),BA32,0)))))</f>
        <v/>
      </c>
      <c r="AI32" s="33">
        <f>AG32-AH32</f>
        <v/>
      </c>
      <c r="AJ32" s="33">
        <f>IF(AN31&lt;=0,0,ROUND(AN31*(1+'Your debts'!$D$12/1200),2))</f>
        <v/>
      </c>
      <c r="AK32" s="33">
        <f>IF(AJ32&lt;=0,0,MIN('Your debts'!$E$12,AJ32))</f>
        <v/>
      </c>
      <c r="AL32" s="33">
        <f>AJ32-AK32</f>
        <v/>
      </c>
      <c r="AM32" s="33">
        <f>IF('Your debts'!$F$12="",0,MIN(AL32,MAX(0,MAX(0,'Your debts'!$C$19-(G32+L32+Q32+V32+AA32+AF32+AK32+AP32+AU32+AZ32))-(IF(AND('Your debts'!$F$6&lt;&gt;"",'Your debts'!$F$12&lt;&gt;"",'Your debts'!$F$6&lt;'Your debts'!$F$12),H32,0)+IF(AND('Your debts'!$F$7&lt;&gt;"",'Your debts'!$F$12&lt;&gt;"",'Your debts'!$F$7&lt;'Your debts'!$F$12),M32,0)+IF(AND('Your debts'!$F$8&lt;&gt;"",'Your debts'!$F$12&lt;&gt;"",'Your debts'!$F$8&lt;'Your debts'!$F$12),R32,0)+IF(AND('Your debts'!$F$9&lt;&gt;"",'Your debts'!$F$12&lt;&gt;"",'Your debts'!$F$9&lt;'Your debts'!$F$12),W32,0)+IF(AND('Your debts'!$F$10&lt;&gt;"",'Your debts'!$F$12&lt;&gt;"",'Your debts'!$F$10&lt;'Your debts'!$F$12),AB32,0)+IF(AND('Your debts'!$F$11&lt;&gt;"",'Your debts'!$F$12&lt;&gt;"",'Your debts'!$F$11&lt;'Your debts'!$F$12),AG32,0)+IF(AND('Your debts'!$F$13&lt;&gt;"",'Your debts'!$F$12&lt;&gt;"",'Your debts'!$F$13&lt;'Your debts'!$F$12),AQ32,0)+IF(AND('Your debts'!$F$14&lt;&gt;"",'Your debts'!$F$12&lt;&gt;"",'Your debts'!$F$14&lt;'Your debts'!$F$12),AV32,0)+IF(AND('Your debts'!$F$15&lt;&gt;"",'Your debts'!$F$12&lt;&gt;"",'Your debts'!$F$15&lt;'Your debts'!$F$12),BA32,0)))))</f>
        <v/>
      </c>
      <c r="AN32" s="33">
        <f>AL32-AM32</f>
        <v/>
      </c>
      <c r="AO32" s="33">
        <f>IF(AS31&lt;=0,0,ROUND(AS31*(1+'Your debts'!$D$13/1200),2))</f>
        <v/>
      </c>
      <c r="AP32" s="33">
        <f>IF(AO32&lt;=0,0,MIN('Your debts'!$E$13,AO32))</f>
        <v/>
      </c>
      <c r="AQ32" s="33">
        <f>AO32-AP32</f>
        <v/>
      </c>
      <c r="AR32" s="33">
        <f>IF('Your debts'!$F$13="",0,MIN(AQ32,MAX(0,MAX(0,'Your debts'!$C$19-(G32+L32+Q32+V32+AA32+AF32+AK32+AP32+AU32+AZ32))-(IF(AND('Your debts'!$F$6&lt;&gt;"",'Your debts'!$F$13&lt;&gt;"",'Your debts'!$F$6&lt;'Your debts'!$F$13),H32,0)+IF(AND('Your debts'!$F$7&lt;&gt;"",'Your debts'!$F$13&lt;&gt;"",'Your debts'!$F$7&lt;'Your debts'!$F$13),M32,0)+IF(AND('Your debts'!$F$8&lt;&gt;"",'Your debts'!$F$13&lt;&gt;"",'Your debts'!$F$8&lt;'Your debts'!$F$13),R32,0)+IF(AND('Your debts'!$F$9&lt;&gt;"",'Your debts'!$F$13&lt;&gt;"",'Your debts'!$F$9&lt;'Your debts'!$F$13),W32,0)+IF(AND('Your debts'!$F$10&lt;&gt;"",'Your debts'!$F$13&lt;&gt;"",'Your debts'!$F$10&lt;'Your debts'!$F$13),AB32,0)+IF(AND('Your debts'!$F$11&lt;&gt;"",'Your debts'!$F$13&lt;&gt;"",'Your debts'!$F$11&lt;'Your debts'!$F$13),AG32,0)+IF(AND('Your debts'!$F$12&lt;&gt;"",'Your debts'!$F$13&lt;&gt;"",'Your debts'!$F$12&lt;'Your debts'!$F$13),AL32,0)+IF(AND('Your debts'!$F$14&lt;&gt;"",'Your debts'!$F$13&lt;&gt;"",'Your debts'!$F$14&lt;'Your debts'!$F$13),AV32,0)+IF(AND('Your debts'!$F$15&lt;&gt;"",'Your debts'!$F$13&lt;&gt;"",'Your debts'!$F$15&lt;'Your debts'!$F$13),BA32,0)))))</f>
        <v/>
      </c>
      <c r="AS32" s="33">
        <f>AQ32-AR32</f>
        <v/>
      </c>
      <c r="AT32" s="33">
        <f>IF(AX31&lt;=0,0,ROUND(AX31*(1+'Your debts'!$D$14/1200),2))</f>
        <v/>
      </c>
      <c r="AU32" s="33">
        <f>IF(AT32&lt;=0,0,MIN('Your debts'!$E$14,AT32))</f>
        <v/>
      </c>
      <c r="AV32" s="33">
        <f>AT32-AU32</f>
        <v/>
      </c>
      <c r="AW32" s="33">
        <f>IF('Your debts'!$F$14="",0,MIN(AV32,MAX(0,MAX(0,'Your debts'!$C$19-(G32+L32+Q32+V32+AA32+AF32+AK32+AP32+AU32+AZ32))-(IF(AND('Your debts'!$F$6&lt;&gt;"",'Your debts'!$F$14&lt;&gt;"",'Your debts'!$F$6&lt;'Your debts'!$F$14),H32,0)+IF(AND('Your debts'!$F$7&lt;&gt;"",'Your debts'!$F$14&lt;&gt;"",'Your debts'!$F$7&lt;'Your debts'!$F$14),M32,0)+IF(AND('Your debts'!$F$8&lt;&gt;"",'Your debts'!$F$14&lt;&gt;"",'Your debts'!$F$8&lt;'Your debts'!$F$14),R32,0)+IF(AND('Your debts'!$F$9&lt;&gt;"",'Your debts'!$F$14&lt;&gt;"",'Your debts'!$F$9&lt;'Your debts'!$F$14),W32,0)+IF(AND('Your debts'!$F$10&lt;&gt;"",'Your debts'!$F$14&lt;&gt;"",'Your debts'!$F$10&lt;'Your debts'!$F$14),AB32,0)+IF(AND('Your debts'!$F$11&lt;&gt;"",'Your debts'!$F$14&lt;&gt;"",'Your debts'!$F$11&lt;'Your debts'!$F$14),AG32,0)+IF(AND('Your debts'!$F$12&lt;&gt;"",'Your debts'!$F$14&lt;&gt;"",'Your debts'!$F$12&lt;'Your debts'!$F$14),AL32,0)+IF(AND('Your debts'!$F$13&lt;&gt;"",'Your debts'!$F$14&lt;&gt;"",'Your debts'!$F$13&lt;'Your debts'!$F$14),AQ32,0)+IF(AND('Your debts'!$F$15&lt;&gt;"",'Your debts'!$F$14&lt;&gt;"",'Your debts'!$F$15&lt;'Your debts'!$F$14),BA32,0)))))</f>
        <v/>
      </c>
      <c r="AX32" s="33">
        <f>AV32-AW32</f>
        <v/>
      </c>
      <c r="AY32" s="33">
        <f>IF(BC31&lt;=0,0,ROUND(BC31*(1+'Your debts'!$D$15/1200),2))</f>
        <v/>
      </c>
      <c r="AZ32" s="33">
        <f>IF(AY32&lt;=0,0,MIN('Your debts'!$E$15,AY32))</f>
        <v/>
      </c>
      <c r="BA32" s="33">
        <f>AY32-AZ32</f>
        <v/>
      </c>
      <c r="BB32" s="33">
        <f>IF('Your debts'!$F$15="",0,MIN(BA32,MAX(0,MAX(0,'Your debts'!$C$19-(G32+L32+Q32+V32+AA32+AF32+AK32+AP32+AU32+AZ32))-(IF(AND('Your debts'!$F$6&lt;&gt;"",'Your debts'!$F$15&lt;&gt;"",'Your debts'!$F$6&lt;'Your debts'!$F$15),H32,0)+IF(AND('Your debts'!$F$7&lt;&gt;"",'Your debts'!$F$15&lt;&gt;"",'Your debts'!$F$7&lt;'Your debts'!$F$15),M32,0)+IF(AND('Your debts'!$F$8&lt;&gt;"",'Your debts'!$F$15&lt;&gt;"",'Your debts'!$F$8&lt;'Your debts'!$F$15),R32,0)+IF(AND('Your debts'!$F$9&lt;&gt;"",'Your debts'!$F$15&lt;&gt;"",'Your debts'!$F$9&lt;'Your debts'!$F$15),W32,0)+IF(AND('Your debts'!$F$10&lt;&gt;"",'Your debts'!$F$15&lt;&gt;"",'Your debts'!$F$10&lt;'Your debts'!$F$15),AB32,0)+IF(AND('Your debts'!$F$11&lt;&gt;"",'Your debts'!$F$15&lt;&gt;"",'Your debts'!$F$11&lt;'Your debts'!$F$15),AG32,0)+IF(AND('Your debts'!$F$12&lt;&gt;"",'Your debts'!$F$15&lt;&gt;"",'Your debts'!$F$12&lt;'Your debts'!$F$15),AL32,0)+IF(AND('Your debts'!$F$13&lt;&gt;"",'Your debts'!$F$15&lt;&gt;"",'Your debts'!$F$13&lt;'Your debts'!$F$15),AQ32,0)+IF(AND('Your debts'!$F$14&lt;&gt;"",'Your debts'!$F$15&lt;&gt;"",'Your debts'!$F$14&lt;'Your debts'!$F$15),AV32,0)))))</f>
        <v/>
      </c>
      <c r="BC32" s="33">
        <f>BA32-BB32</f>
        <v/>
      </c>
    </row>
    <row r="33">
      <c r="A33" s="30" t="n">
        <v>18</v>
      </c>
      <c r="B33" s="31">
        <f>EDATE($B$15,18)</f>
        <v/>
      </c>
      <c r="C33" s="32">
        <f>IF(J32&lt;=0,0,F33-J32)+IF(O32&lt;=0,0,K33-O32)+IF(T32&lt;=0,0,P33-T32)+IF(Y32&lt;=0,0,U33-Y32)+IF(AD32&lt;=0,0,Z33-AD32)+IF(AI32&lt;=0,0,AE33-AI32)+IF(AN32&lt;=0,0,AJ33-AN32)+IF(AS32&lt;=0,0,AO33-AS32)+IF(AX32&lt;=0,0,AT33-AX32)+IF(BC32&lt;=0,0,AY33-BC32)</f>
        <v/>
      </c>
      <c r="D33" s="32">
        <f>G33+I33+L33+N33+Q33+S33+V33+X33+AA33+AC33+AF33+AH33+AK33+AM33+AP33+AR33+AU33+AW33+AZ33+BB33</f>
        <v/>
      </c>
      <c r="E33" s="32">
        <f>J33+O33+T33+Y33+AD33+AI33+AN33+AS33+AX33+BC33</f>
        <v/>
      </c>
      <c r="F33" s="33">
        <f>IF(J32&lt;=0,0,ROUND(J32*(1+'Your debts'!$D$6/1200),2))</f>
        <v/>
      </c>
      <c r="G33" s="33">
        <f>IF(F33&lt;=0,0,MIN('Your debts'!$E$6,F33))</f>
        <v/>
      </c>
      <c r="H33" s="33">
        <f>F33-G33</f>
        <v/>
      </c>
      <c r="I33" s="33">
        <f>IF('Your debts'!$F$6="",0,MIN(H33,MAX(0,MAX(0,'Your debts'!$C$19-(G33+L33+Q33+V33+AA33+AF33+AK33+AP33+AU33+AZ33))-(IF(AND('Your debts'!$F$7&lt;&gt;"",'Your debts'!$F$6&lt;&gt;"",'Your debts'!$F$7&lt;'Your debts'!$F$6),M33,0)+IF(AND('Your debts'!$F$8&lt;&gt;"",'Your debts'!$F$6&lt;&gt;"",'Your debts'!$F$8&lt;'Your debts'!$F$6),R33,0)+IF(AND('Your debts'!$F$9&lt;&gt;"",'Your debts'!$F$6&lt;&gt;"",'Your debts'!$F$9&lt;'Your debts'!$F$6),W33,0)+IF(AND('Your debts'!$F$10&lt;&gt;"",'Your debts'!$F$6&lt;&gt;"",'Your debts'!$F$10&lt;'Your debts'!$F$6),AB33,0)+IF(AND('Your debts'!$F$11&lt;&gt;"",'Your debts'!$F$6&lt;&gt;"",'Your debts'!$F$11&lt;'Your debts'!$F$6),AG33,0)+IF(AND('Your debts'!$F$12&lt;&gt;"",'Your debts'!$F$6&lt;&gt;"",'Your debts'!$F$12&lt;'Your debts'!$F$6),AL33,0)+IF(AND('Your debts'!$F$13&lt;&gt;"",'Your debts'!$F$6&lt;&gt;"",'Your debts'!$F$13&lt;'Your debts'!$F$6),AQ33,0)+IF(AND('Your debts'!$F$14&lt;&gt;"",'Your debts'!$F$6&lt;&gt;"",'Your debts'!$F$14&lt;'Your debts'!$F$6),AV33,0)+IF(AND('Your debts'!$F$15&lt;&gt;"",'Your debts'!$F$6&lt;&gt;"",'Your debts'!$F$15&lt;'Your debts'!$F$6),BA33,0)))))</f>
        <v/>
      </c>
      <c r="J33" s="33">
        <f>H33-I33</f>
        <v/>
      </c>
      <c r="K33" s="33">
        <f>IF(O32&lt;=0,0,ROUND(O32*(1+'Your debts'!$D$7/1200),2))</f>
        <v/>
      </c>
      <c r="L33" s="33">
        <f>IF(K33&lt;=0,0,MIN('Your debts'!$E$7,K33))</f>
        <v/>
      </c>
      <c r="M33" s="33">
        <f>K33-L33</f>
        <v/>
      </c>
      <c r="N33" s="33">
        <f>IF('Your debts'!$F$7="",0,MIN(M33,MAX(0,MAX(0,'Your debts'!$C$19-(G33+L33+Q33+V33+AA33+AF33+AK33+AP33+AU33+AZ33))-(IF(AND('Your debts'!$F$6&lt;&gt;"",'Your debts'!$F$7&lt;&gt;"",'Your debts'!$F$6&lt;'Your debts'!$F$7),H33,0)+IF(AND('Your debts'!$F$8&lt;&gt;"",'Your debts'!$F$7&lt;&gt;"",'Your debts'!$F$8&lt;'Your debts'!$F$7),R33,0)+IF(AND('Your debts'!$F$9&lt;&gt;"",'Your debts'!$F$7&lt;&gt;"",'Your debts'!$F$9&lt;'Your debts'!$F$7),W33,0)+IF(AND('Your debts'!$F$10&lt;&gt;"",'Your debts'!$F$7&lt;&gt;"",'Your debts'!$F$10&lt;'Your debts'!$F$7),AB33,0)+IF(AND('Your debts'!$F$11&lt;&gt;"",'Your debts'!$F$7&lt;&gt;"",'Your debts'!$F$11&lt;'Your debts'!$F$7),AG33,0)+IF(AND('Your debts'!$F$12&lt;&gt;"",'Your debts'!$F$7&lt;&gt;"",'Your debts'!$F$12&lt;'Your debts'!$F$7),AL33,0)+IF(AND('Your debts'!$F$13&lt;&gt;"",'Your debts'!$F$7&lt;&gt;"",'Your debts'!$F$13&lt;'Your debts'!$F$7),AQ33,0)+IF(AND('Your debts'!$F$14&lt;&gt;"",'Your debts'!$F$7&lt;&gt;"",'Your debts'!$F$14&lt;'Your debts'!$F$7),AV33,0)+IF(AND('Your debts'!$F$15&lt;&gt;"",'Your debts'!$F$7&lt;&gt;"",'Your debts'!$F$15&lt;'Your debts'!$F$7),BA33,0)))))</f>
        <v/>
      </c>
      <c r="O33" s="33">
        <f>M33-N33</f>
        <v/>
      </c>
      <c r="P33" s="33">
        <f>IF(T32&lt;=0,0,ROUND(T32*(1+'Your debts'!$D$8/1200),2))</f>
        <v/>
      </c>
      <c r="Q33" s="33">
        <f>IF(P33&lt;=0,0,MIN('Your debts'!$E$8,P33))</f>
        <v/>
      </c>
      <c r="R33" s="33">
        <f>P33-Q33</f>
        <v/>
      </c>
      <c r="S33" s="33">
        <f>IF('Your debts'!$F$8="",0,MIN(R33,MAX(0,MAX(0,'Your debts'!$C$19-(G33+L33+Q33+V33+AA33+AF33+AK33+AP33+AU33+AZ33))-(IF(AND('Your debts'!$F$6&lt;&gt;"",'Your debts'!$F$8&lt;&gt;"",'Your debts'!$F$6&lt;'Your debts'!$F$8),H33,0)+IF(AND('Your debts'!$F$7&lt;&gt;"",'Your debts'!$F$8&lt;&gt;"",'Your debts'!$F$7&lt;'Your debts'!$F$8),M33,0)+IF(AND('Your debts'!$F$9&lt;&gt;"",'Your debts'!$F$8&lt;&gt;"",'Your debts'!$F$9&lt;'Your debts'!$F$8),W33,0)+IF(AND('Your debts'!$F$10&lt;&gt;"",'Your debts'!$F$8&lt;&gt;"",'Your debts'!$F$10&lt;'Your debts'!$F$8),AB33,0)+IF(AND('Your debts'!$F$11&lt;&gt;"",'Your debts'!$F$8&lt;&gt;"",'Your debts'!$F$11&lt;'Your debts'!$F$8),AG33,0)+IF(AND('Your debts'!$F$12&lt;&gt;"",'Your debts'!$F$8&lt;&gt;"",'Your debts'!$F$12&lt;'Your debts'!$F$8),AL33,0)+IF(AND('Your debts'!$F$13&lt;&gt;"",'Your debts'!$F$8&lt;&gt;"",'Your debts'!$F$13&lt;'Your debts'!$F$8),AQ33,0)+IF(AND('Your debts'!$F$14&lt;&gt;"",'Your debts'!$F$8&lt;&gt;"",'Your debts'!$F$14&lt;'Your debts'!$F$8),AV33,0)+IF(AND('Your debts'!$F$15&lt;&gt;"",'Your debts'!$F$8&lt;&gt;"",'Your debts'!$F$15&lt;'Your debts'!$F$8),BA33,0)))))</f>
        <v/>
      </c>
      <c r="T33" s="33">
        <f>R33-S33</f>
        <v/>
      </c>
      <c r="U33" s="33">
        <f>IF(Y32&lt;=0,0,ROUND(Y32*(1+'Your debts'!$D$9/1200),2))</f>
        <v/>
      </c>
      <c r="V33" s="33">
        <f>IF(U33&lt;=0,0,MIN('Your debts'!$E$9,U33))</f>
        <v/>
      </c>
      <c r="W33" s="33">
        <f>U33-V33</f>
        <v/>
      </c>
      <c r="X33" s="33">
        <f>IF('Your debts'!$F$9="",0,MIN(W33,MAX(0,MAX(0,'Your debts'!$C$19-(G33+L33+Q33+V33+AA33+AF33+AK33+AP33+AU33+AZ33))-(IF(AND('Your debts'!$F$6&lt;&gt;"",'Your debts'!$F$9&lt;&gt;"",'Your debts'!$F$6&lt;'Your debts'!$F$9),H33,0)+IF(AND('Your debts'!$F$7&lt;&gt;"",'Your debts'!$F$9&lt;&gt;"",'Your debts'!$F$7&lt;'Your debts'!$F$9),M33,0)+IF(AND('Your debts'!$F$8&lt;&gt;"",'Your debts'!$F$9&lt;&gt;"",'Your debts'!$F$8&lt;'Your debts'!$F$9),R33,0)+IF(AND('Your debts'!$F$10&lt;&gt;"",'Your debts'!$F$9&lt;&gt;"",'Your debts'!$F$10&lt;'Your debts'!$F$9),AB33,0)+IF(AND('Your debts'!$F$11&lt;&gt;"",'Your debts'!$F$9&lt;&gt;"",'Your debts'!$F$11&lt;'Your debts'!$F$9),AG33,0)+IF(AND('Your debts'!$F$12&lt;&gt;"",'Your debts'!$F$9&lt;&gt;"",'Your debts'!$F$12&lt;'Your debts'!$F$9),AL33,0)+IF(AND('Your debts'!$F$13&lt;&gt;"",'Your debts'!$F$9&lt;&gt;"",'Your debts'!$F$13&lt;'Your debts'!$F$9),AQ33,0)+IF(AND('Your debts'!$F$14&lt;&gt;"",'Your debts'!$F$9&lt;&gt;"",'Your debts'!$F$14&lt;'Your debts'!$F$9),AV33,0)+IF(AND('Your debts'!$F$15&lt;&gt;"",'Your debts'!$F$9&lt;&gt;"",'Your debts'!$F$15&lt;'Your debts'!$F$9),BA33,0)))))</f>
        <v/>
      </c>
      <c r="Y33" s="33">
        <f>W33-X33</f>
        <v/>
      </c>
      <c r="Z33" s="33">
        <f>IF(AD32&lt;=0,0,ROUND(AD32*(1+'Your debts'!$D$10/1200),2))</f>
        <v/>
      </c>
      <c r="AA33" s="33">
        <f>IF(Z33&lt;=0,0,MIN('Your debts'!$E$10,Z33))</f>
        <v/>
      </c>
      <c r="AB33" s="33">
        <f>Z33-AA33</f>
        <v/>
      </c>
      <c r="AC33" s="33">
        <f>IF('Your debts'!$F$10="",0,MIN(AB33,MAX(0,MAX(0,'Your debts'!$C$19-(G33+L33+Q33+V33+AA33+AF33+AK33+AP33+AU33+AZ33))-(IF(AND('Your debts'!$F$6&lt;&gt;"",'Your debts'!$F$10&lt;&gt;"",'Your debts'!$F$6&lt;'Your debts'!$F$10),H33,0)+IF(AND('Your debts'!$F$7&lt;&gt;"",'Your debts'!$F$10&lt;&gt;"",'Your debts'!$F$7&lt;'Your debts'!$F$10),M33,0)+IF(AND('Your debts'!$F$8&lt;&gt;"",'Your debts'!$F$10&lt;&gt;"",'Your debts'!$F$8&lt;'Your debts'!$F$10),R33,0)+IF(AND('Your debts'!$F$9&lt;&gt;"",'Your debts'!$F$10&lt;&gt;"",'Your debts'!$F$9&lt;'Your debts'!$F$10),W33,0)+IF(AND('Your debts'!$F$11&lt;&gt;"",'Your debts'!$F$10&lt;&gt;"",'Your debts'!$F$11&lt;'Your debts'!$F$10),AG33,0)+IF(AND('Your debts'!$F$12&lt;&gt;"",'Your debts'!$F$10&lt;&gt;"",'Your debts'!$F$12&lt;'Your debts'!$F$10),AL33,0)+IF(AND('Your debts'!$F$13&lt;&gt;"",'Your debts'!$F$10&lt;&gt;"",'Your debts'!$F$13&lt;'Your debts'!$F$10),AQ33,0)+IF(AND('Your debts'!$F$14&lt;&gt;"",'Your debts'!$F$10&lt;&gt;"",'Your debts'!$F$14&lt;'Your debts'!$F$10),AV33,0)+IF(AND('Your debts'!$F$15&lt;&gt;"",'Your debts'!$F$10&lt;&gt;"",'Your debts'!$F$15&lt;'Your debts'!$F$10),BA33,0)))))</f>
        <v/>
      </c>
      <c r="AD33" s="33">
        <f>AB33-AC33</f>
        <v/>
      </c>
      <c r="AE33" s="33">
        <f>IF(AI32&lt;=0,0,ROUND(AI32*(1+'Your debts'!$D$11/1200),2))</f>
        <v/>
      </c>
      <c r="AF33" s="33">
        <f>IF(AE33&lt;=0,0,MIN('Your debts'!$E$11,AE33))</f>
        <v/>
      </c>
      <c r="AG33" s="33">
        <f>AE33-AF33</f>
        <v/>
      </c>
      <c r="AH33" s="33">
        <f>IF('Your debts'!$F$11="",0,MIN(AG33,MAX(0,MAX(0,'Your debts'!$C$19-(G33+L33+Q33+V33+AA33+AF33+AK33+AP33+AU33+AZ33))-(IF(AND('Your debts'!$F$6&lt;&gt;"",'Your debts'!$F$11&lt;&gt;"",'Your debts'!$F$6&lt;'Your debts'!$F$11),H33,0)+IF(AND('Your debts'!$F$7&lt;&gt;"",'Your debts'!$F$11&lt;&gt;"",'Your debts'!$F$7&lt;'Your debts'!$F$11),M33,0)+IF(AND('Your debts'!$F$8&lt;&gt;"",'Your debts'!$F$11&lt;&gt;"",'Your debts'!$F$8&lt;'Your debts'!$F$11),R33,0)+IF(AND('Your debts'!$F$9&lt;&gt;"",'Your debts'!$F$11&lt;&gt;"",'Your debts'!$F$9&lt;'Your debts'!$F$11),W33,0)+IF(AND('Your debts'!$F$10&lt;&gt;"",'Your debts'!$F$11&lt;&gt;"",'Your debts'!$F$10&lt;'Your debts'!$F$11),AB33,0)+IF(AND('Your debts'!$F$12&lt;&gt;"",'Your debts'!$F$11&lt;&gt;"",'Your debts'!$F$12&lt;'Your debts'!$F$11),AL33,0)+IF(AND('Your debts'!$F$13&lt;&gt;"",'Your debts'!$F$11&lt;&gt;"",'Your debts'!$F$13&lt;'Your debts'!$F$11),AQ33,0)+IF(AND('Your debts'!$F$14&lt;&gt;"",'Your debts'!$F$11&lt;&gt;"",'Your debts'!$F$14&lt;'Your debts'!$F$11),AV33,0)+IF(AND('Your debts'!$F$15&lt;&gt;"",'Your debts'!$F$11&lt;&gt;"",'Your debts'!$F$15&lt;'Your debts'!$F$11),BA33,0)))))</f>
        <v/>
      </c>
      <c r="AI33" s="33">
        <f>AG33-AH33</f>
        <v/>
      </c>
      <c r="AJ33" s="33">
        <f>IF(AN32&lt;=0,0,ROUND(AN32*(1+'Your debts'!$D$12/1200),2))</f>
        <v/>
      </c>
      <c r="AK33" s="33">
        <f>IF(AJ33&lt;=0,0,MIN('Your debts'!$E$12,AJ33))</f>
        <v/>
      </c>
      <c r="AL33" s="33">
        <f>AJ33-AK33</f>
        <v/>
      </c>
      <c r="AM33" s="33">
        <f>IF('Your debts'!$F$12="",0,MIN(AL33,MAX(0,MAX(0,'Your debts'!$C$19-(G33+L33+Q33+V33+AA33+AF33+AK33+AP33+AU33+AZ33))-(IF(AND('Your debts'!$F$6&lt;&gt;"",'Your debts'!$F$12&lt;&gt;"",'Your debts'!$F$6&lt;'Your debts'!$F$12),H33,0)+IF(AND('Your debts'!$F$7&lt;&gt;"",'Your debts'!$F$12&lt;&gt;"",'Your debts'!$F$7&lt;'Your debts'!$F$12),M33,0)+IF(AND('Your debts'!$F$8&lt;&gt;"",'Your debts'!$F$12&lt;&gt;"",'Your debts'!$F$8&lt;'Your debts'!$F$12),R33,0)+IF(AND('Your debts'!$F$9&lt;&gt;"",'Your debts'!$F$12&lt;&gt;"",'Your debts'!$F$9&lt;'Your debts'!$F$12),W33,0)+IF(AND('Your debts'!$F$10&lt;&gt;"",'Your debts'!$F$12&lt;&gt;"",'Your debts'!$F$10&lt;'Your debts'!$F$12),AB33,0)+IF(AND('Your debts'!$F$11&lt;&gt;"",'Your debts'!$F$12&lt;&gt;"",'Your debts'!$F$11&lt;'Your debts'!$F$12),AG33,0)+IF(AND('Your debts'!$F$13&lt;&gt;"",'Your debts'!$F$12&lt;&gt;"",'Your debts'!$F$13&lt;'Your debts'!$F$12),AQ33,0)+IF(AND('Your debts'!$F$14&lt;&gt;"",'Your debts'!$F$12&lt;&gt;"",'Your debts'!$F$14&lt;'Your debts'!$F$12),AV33,0)+IF(AND('Your debts'!$F$15&lt;&gt;"",'Your debts'!$F$12&lt;&gt;"",'Your debts'!$F$15&lt;'Your debts'!$F$12),BA33,0)))))</f>
        <v/>
      </c>
      <c r="AN33" s="33">
        <f>AL33-AM33</f>
        <v/>
      </c>
      <c r="AO33" s="33">
        <f>IF(AS32&lt;=0,0,ROUND(AS32*(1+'Your debts'!$D$13/1200),2))</f>
        <v/>
      </c>
      <c r="AP33" s="33">
        <f>IF(AO33&lt;=0,0,MIN('Your debts'!$E$13,AO33))</f>
        <v/>
      </c>
      <c r="AQ33" s="33">
        <f>AO33-AP33</f>
        <v/>
      </c>
      <c r="AR33" s="33">
        <f>IF('Your debts'!$F$13="",0,MIN(AQ33,MAX(0,MAX(0,'Your debts'!$C$19-(G33+L33+Q33+V33+AA33+AF33+AK33+AP33+AU33+AZ33))-(IF(AND('Your debts'!$F$6&lt;&gt;"",'Your debts'!$F$13&lt;&gt;"",'Your debts'!$F$6&lt;'Your debts'!$F$13),H33,0)+IF(AND('Your debts'!$F$7&lt;&gt;"",'Your debts'!$F$13&lt;&gt;"",'Your debts'!$F$7&lt;'Your debts'!$F$13),M33,0)+IF(AND('Your debts'!$F$8&lt;&gt;"",'Your debts'!$F$13&lt;&gt;"",'Your debts'!$F$8&lt;'Your debts'!$F$13),R33,0)+IF(AND('Your debts'!$F$9&lt;&gt;"",'Your debts'!$F$13&lt;&gt;"",'Your debts'!$F$9&lt;'Your debts'!$F$13),W33,0)+IF(AND('Your debts'!$F$10&lt;&gt;"",'Your debts'!$F$13&lt;&gt;"",'Your debts'!$F$10&lt;'Your debts'!$F$13),AB33,0)+IF(AND('Your debts'!$F$11&lt;&gt;"",'Your debts'!$F$13&lt;&gt;"",'Your debts'!$F$11&lt;'Your debts'!$F$13),AG33,0)+IF(AND('Your debts'!$F$12&lt;&gt;"",'Your debts'!$F$13&lt;&gt;"",'Your debts'!$F$12&lt;'Your debts'!$F$13),AL33,0)+IF(AND('Your debts'!$F$14&lt;&gt;"",'Your debts'!$F$13&lt;&gt;"",'Your debts'!$F$14&lt;'Your debts'!$F$13),AV33,0)+IF(AND('Your debts'!$F$15&lt;&gt;"",'Your debts'!$F$13&lt;&gt;"",'Your debts'!$F$15&lt;'Your debts'!$F$13),BA33,0)))))</f>
        <v/>
      </c>
      <c r="AS33" s="33">
        <f>AQ33-AR33</f>
        <v/>
      </c>
      <c r="AT33" s="33">
        <f>IF(AX32&lt;=0,0,ROUND(AX32*(1+'Your debts'!$D$14/1200),2))</f>
        <v/>
      </c>
      <c r="AU33" s="33">
        <f>IF(AT33&lt;=0,0,MIN('Your debts'!$E$14,AT33))</f>
        <v/>
      </c>
      <c r="AV33" s="33">
        <f>AT33-AU33</f>
        <v/>
      </c>
      <c r="AW33" s="33">
        <f>IF('Your debts'!$F$14="",0,MIN(AV33,MAX(0,MAX(0,'Your debts'!$C$19-(G33+L33+Q33+V33+AA33+AF33+AK33+AP33+AU33+AZ33))-(IF(AND('Your debts'!$F$6&lt;&gt;"",'Your debts'!$F$14&lt;&gt;"",'Your debts'!$F$6&lt;'Your debts'!$F$14),H33,0)+IF(AND('Your debts'!$F$7&lt;&gt;"",'Your debts'!$F$14&lt;&gt;"",'Your debts'!$F$7&lt;'Your debts'!$F$14),M33,0)+IF(AND('Your debts'!$F$8&lt;&gt;"",'Your debts'!$F$14&lt;&gt;"",'Your debts'!$F$8&lt;'Your debts'!$F$14),R33,0)+IF(AND('Your debts'!$F$9&lt;&gt;"",'Your debts'!$F$14&lt;&gt;"",'Your debts'!$F$9&lt;'Your debts'!$F$14),W33,0)+IF(AND('Your debts'!$F$10&lt;&gt;"",'Your debts'!$F$14&lt;&gt;"",'Your debts'!$F$10&lt;'Your debts'!$F$14),AB33,0)+IF(AND('Your debts'!$F$11&lt;&gt;"",'Your debts'!$F$14&lt;&gt;"",'Your debts'!$F$11&lt;'Your debts'!$F$14),AG33,0)+IF(AND('Your debts'!$F$12&lt;&gt;"",'Your debts'!$F$14&lt;&gt;"",'Your debts'!$F$12&lt;'Your debts'!$F$14),AL33,0)+IF(AND('Your debts'!$F$13&lt;&gt;"",'Your debts'!$F$14&lt;&gt;"",'Your debts'!$F$13&lt;'Your debts'!$F$14),AQ33,0)+IF(AND('Your debts'!$F$15&lt;&gt;"",'Your debts'!$F$14&lt;&gt;"",'Your debts'!$F$15&lt;'Your debts'!$F$14),BA33,0)))))</f>
        <v/>
      </c>
      <c r="AX33" s="33">
        <f>AV33-AW33</f>
        <v/>
      </c>
      <c r="AY33" s="33">
        <f>IF(BC32&lt;=0,0,ROUND(BC32*(1+'Your debts'!$D$15/1200),2))</f>
        <v/>
      </c>
      <c r="AZ33" s="33">
        <f>IF(AY33&lt;=0,0,MIN('Your debts'!$E$15,AY33))</f>
        <v/>
      </c>
      <c r="BA33" s="33">
        <f>AY33-AZ33</f>
        <v/>
      </c>
      <c r="BB33" s="33">
        <f>IF('Your debts'!$F$15="",0,MIN(BA33,MAX(0,MAX(0,'Your debts'!$C$19-(G33+L33+Q33+V33+AA33+AF33+AK33+AP33+AU33+AZ33))-(IF(AND('Your debts'!$F$6&lt;&gt;"",'Your debts'!$F$15&lt;&gt;"",'Your debts'!$F$6&lt;'Your debts'!$F$15),H33,0)+IF(AND('Your debts'!$F$7&lt;&gt;"",'Your debts'!$F$15&lt;&gt;"",'Your debts'!$F$7&lt;'Your debts'!$F$15),M33,0)+IF(AND('Your debts'!$F$8&lt;&gt;"",'Your debts'!$F$15&lt;&gt;"",'Your debts'!$F$8&lt;'Your debts'!$F$15),R33,0)+IF(AND('Your debts'!$F$9&lt;&gt;"",'Your debts'!$F$15&lt;&gt;"",'Your debts'!$F$9&lt;'Your debts'!$F$15),W33,0)+IF(AND('Your debts'!$F$10&lt;&gt;"",'Your debts'!$F$15&lt;&gt;"",'Your debts'!$F$10&lt;'Your debts'!$F$15),AB33,0)+IF(AND('Your debts'!$F$11&lt;&gt;"",'Your debts'!$F$15&lt;&gt;"",'Your debts'!$F$11&lt;'Your debts'!$F$15),AG33,0)+IF(AND('Your debts'!$F$12&lt;&gt;"",'Your debts'!$F$15&lt;&gt;"",'Your debts'!$F$12&lt;'Your debts'!$F$15),AL33,0)+IF(AND('Your debts'!$F$13&lt;&gt;"",'Your debts'!$F$15&lt;&gt;"",'Your debts'!$F$13&lt;'Your debts'!$F$15),AQ33,0)+IF(AND('Your debts'!$F$14&lt;&gt;"",'Your debts'!$F$15&lt;&gt;"",'Your debts'!$F$14&lt;'Your debts'!$F$15),AV33,0)))))</f>
        <v/>
      </c>
      <c r="BC33" s="33">
        <f>BA33-BB33</f>
        <v/>
      </c>
    </row>
    <row r="34">
      <c r="A34" s="30" t="n">
        <v>19</v>
      </c>
      <c r="B34" s="31">
        <f>EDATE($B$15,19)</f>
        <v/>
      </c>
      <c r="C34" s="32">
        <f>IF(J33&lt;=0,0,F34-J33)+IF(O33&lt;=0,0,K34-O33)+IF(T33&lt;=0,0,P34-T33)+IF(Y33&lt;=0,0,U34-Y33)+IF(AD33&lt;=0,0,Z34-AD33)+IF(AI33&lt;=0,0,AE34-AI33)+IF(AN33&lt;=0,0,AJ34-AN33)+IF(AS33&lt;=0,0,AO34-AS33)+IF(AX33&lt;=0,0,AT34-AX33)+IF(BC33&lt;=0,0,AY34-BC33)</f>
        <v/>
      </c>
      <c r="D34" s="32">
        <f>G34+I34+L34+N34+Q34+S34+V34+X34+AA34+AC34+AF34+AH34+AK34+AM34+AP34+AR34+AU34+AW34+AZ34+BB34</f>
        <v/>
      </c>
      <c r="E34" s="32">
        <f>J34+O34+T34+Y34+AD34+AI34+AN34+AS34+AX34+BC34</f>
        <v/>
      </c>
      <c r="F34" s="33">
        <f>IF(J33&lt;=0,0,ROUND(J33*(1+'Your debts'!$D$6/1200),2))</f>
        <v/>
      </c>
      <c r="G34" s="33">
        <f>IF(F34&lt;=0,0,MIN('Your debts'!$E$6,F34))</f>
        <v/>
      </c>
      <c r="H34" s="33">
        <f>F34-G34</f>
        <v/>
      </c>
      <c r="I34" s="33">
        <f>IF('Your debts'!$F$6="",0,MIN(H34,MAX(0,MAX(0,'Your debts'!$C$19-(G34+L34+Q34+V34+AA34+AF34+AK34+AP34+AU34+AZ34))-(IF(AND('Your debts'!$F$7&lt;&gt;"",'Your debts'!$F$6&lt;&gt;"",'Your debts'!$F$7&lt;'Your debts'!$F$6),M34,0)+IF(AND('Your debts'!$F$8&lt;&gt;"",'Your debts'!$F$6&lt;&gt;"",'Your debts'!$F$8&lt;'Your debts'!$F$6),R34,0)+IF(AND('Your debts'!$F$9&lt;&gt;"",'Your debts'!$F$6&lt;&gt;"",'Your debts'!$F$9&lt;'Your debts'!$F$6),W34,0)+IF(AND('Your debts'!$F$10&lt;&gt;"",'Your debts'!$F$6&lt;&gt;"",'Your debts'!$F$10&lt;'Your debts'!$F$6),AB34,0)+IF(AND('Your debts'!$F$11&lt;&gt;"",'Your debts'!$F$6&lt;&gt;"",'Your debts'!$F$11&lt;'Your debts'!$F$6),AG34,0)+IF(AND('Your debts'!$F$12&lt;&gt;"",'Your debts'!$F$6&lt;&gt;"",'Your debts'!$F$12&lt;'Your debts'!$F$6),AL34,0)+IF(AND('Your debts'!$F$13&lt;&gt;"",'Your debts'!$F$6&lt;&gt;"",'Your debts'!$F$13&lt;'Your debts'!$F$6),AQ34,0)+IF(AND('Your debts'!$F$14&lt;&gt;"",'Your debts'!$F$6&lt;&gt;"",'Your debts'!$F$14&lt;'Your debts'!$F$6),AV34,0)+IF(AND('Your debts'!$F$15&lt;&gt;"",'Your debts'!$F$6&lt;&gt;"",'Your debts'!$F$15&lt;'Your debts'!$F$6),BA34,0)))))</f>
        <v/>
      </c>
      <c r="J34" s="33">
        <f>H34-I34</f>
        <v/>
      </c>
      <c r="K34" s="33">
        <f>IF(O33&lt;=0,0,ROUND(O33*(1+'Your debts'!$D$7/1200),2))</f>
        <v/>
      </c>
      <c r="L34" s="33">
        <f>IF(K34&lt;=0,0,MIN('Your debts'!$E$7,K34))</f>
        <v/>
      </c>
      <c r="M34" s="33">
        <f>K34-L34</f>
        <v/>
      </c>
      <c r="N34" s="33">
        <f>IF('Your debts'!$F$7="",0,MIN(M34,MAX(0,MAX(0,'Your debts'!$C$19-(G34+L34+Q34+V34+AA34+AF34+AK34+AP34+AU34+AZ34))-(IF(AND('Your debts'!$F$6&lt;&gt;"",'Your debts'!$F$7&lt;&gt;"",'Your debts'!$F$6&lt;'Your debts'!$F$7),H34,0)+IF(AND('Your debts'!$F$8&lt;&gt;"",'Your debts'!$F$7&lt;&gt;"",'Your debts'!$F$8&lt;'Your debts'!$F$7),R34,0)+IF(AND('Your debts'!$F$9&lt;&gt;"",'Your debts'!$F$7&lt;&gt;"",'Your debts'!$F$9&lt;'Your debts'!$F$7),W34,0)+IF(AND('Your debts'!$F$10&lt;&gt;"",'Your debts'!$F$7&lt;&gt;"",'Your debts'!$F$10&lt;'Your debts'!$F$7),AB34,0)+IF(AND('Your debts'!$F$11&lt;&gt;"",'Your debts'!$F$7&lt;&gt;"",'Your debts'!$F$11&lt;'Your debts'!$F$7),AG34,0)+IF(AND('Your debts'!$F$12&lt;&gt;"",'Your debts'!$F$7&lt;&gt;"",'Your debts'!$F$12&lt;'Your debts'!$F$7),AL34,0)+IF(AND('Your debts'!$F$13&lt;&gt;"",'Your debts'!$F$7&lt;&gt;"",'Your debts'!$F$13&lt;'Your debts'!$F$7),AQ34,0)+IF(AND('Your debts'!$F$14&lt;&gt;"",'Your debts'!$F$7&lt;&gt;"",'Your debts'!$F$14&lt;'Your debts'!$F$7),AV34,0)+IF(AND('Your debts'!$F$15&lt;&gt;"",'Your debts'!$F$7&lt;&gt;"",'Your debts'!$F$15&lt;'Your debts'!$F$7),BA34,0)))))</f>
        <v/>
      </c>
      <c r="O34" s="33">
        <f>M34-N34</f>
        <v/>
      </c>
      <c r="P34" s="33">
        <f>IF(T33&lt;=0,0,ROUND(T33*(1+'Your debts'!$D$8/1200),2))</f>
        <v/>
      </c>
      <c r="Q34" s="33">
        <f>IF(P34&lt;=0,0,MIN('Your debts'!$E$8,P34))</f>
        <v/>
      </c>
      <c r="R34" s="33">
        <f>P34-Q34</f>
        <v/>
      </c>
      <c r="S34" s="33">
        <f>IF('Your debts'!$F$8="",0,MIN(R34,MAX(0,MAX(0,'Your debts'!$C$19-(G34+L34+Q34+V34+AA34+AF34+AK34+AP34+AU34+AZ34))-(IF(AND('Your debts'!$F$6&lt;&gt;"",'Your debts'!$F$8&lt;&gt;"",'Your debts'!$F$6&lt;'Your debts'!$F$8),H34,0)+IF(AND('Your debts'!$F$7&lt;&gt;"",'Your debts'!$F$8&lt;&gt;"",'Your debts'!$F$7&lt;'Your debts'!$F$8),M34,0)+IF(AND('Your debts'!$F$9&lt;&gt;"",'Your debts'!$F$8&lt;&gt;"",'Your debts'!$F$9&lt;'Your debts'!$F$8),W34,0)+IF(AND('Your debts'!$F$10&lt;&gt;"",'Your debts'!$F$8&lt;&gt;"",'Your debts'!$F$10&lt;'Your debts'!$F$8),AB34,0)+IF(AND('Your debts'!$F$11&lt;&gt;"",'Your debts'!$F$8&lt;&gt;"",'Your debts'!$F$11&lt;'Your debts'!$F$8),AG34,0)+IF(AND('Your debts'!$F$12&lt;&gt;"",'Your debts'!$F$8&lt;&gt;"",'Your debts'!$F$12&lt;'Your debts'!$F$8),AL34,0)+IF(AND('Your debts'!$F$13&lt;&gt;"",'Your debts'!$F$8&lt;&gt;"",'Your debts'!$F$13&lt;'Your debts'!$F$8),AQ34,0)+IF(AND('Your debts'!$F$14&lt;&gt;"",'Your debts'!$F$8&lt;&gt;"",'Your debts'!$F$14&lt;'Your debts'!$F$8),AV34,0)+IF(AND('Your debts'!$F$15&lt;&gt;"",'Your debts'!$F$8&lt;&gt;"",'Your debts'!$F$15&lt;'Your debts'!$F$8),BA34,0)))))</f>
        <v/>
      </c>
      <c r="T34" s="33">
        <f>R34-S34</f>
        <v/>
      </c>
      <c r="U34" s="33">
        <f>IF(Y33&lt;=0,0,ROUND(Y33*(1+'Your debts'!$D$9/1200),2))</f>
        <v/>
      </c>
      <c r="V34" s="33">
        <f>IF(U34&lt;=0,0,MIN('Your debts'!$E$9,U34))</f>
        <v/>
      </c>
      <c r="W34" s="33">
        <f>U34-V34</f>
        <v/>
      </c>
      <c r="X34" s="33">
        <f>IF('Your debts'!$F$9="",0,MIN(W34,MAX(0,MAX(0,'Your debts'!$C$19-(G34+L34+Q34+V34+AA34+AF34+AK34+AP34+AU34+AZ34))-(IF(AND('Your debts'!$F$6&lt;&gt;"",'Your debts'!$F$9&lt;&gt;"",'Your debts'!$F$6&lt;'Your debts'!$F$9),H34,0)+IF(AND('Your debts'!$F$7&lt;&gt;"",'Your debts'!$F$9&lt;&gt;"",'Your debts'!$F$7&lt;'Your debts'!$F$9),M34,0)+IF(AND('Your debts'!$F$8&lt;&gt;"",'Your debts'!$F$9&lt;&gt;"",'Your debts'!$F$8&lt;'Your debts'!$F$9),R34,0)+IF(AND('Your debts'!$F$10&lt;&gt;"",'Your debts'!$F$9&lt;&gt;"",'Your debts'!$F$10&lt;'Your debts'!$F$9),AB34,0)+IF(AND('Your debts'!$F$11&lt;&gt;"",'Your debts'!$F$9&lt;&gt;"",'Your debts'!$F$11&lt;'Your debts'!$F$9),AG34,0)+IF(AND('Your debts'!$F$12&lt;&gt;"",'Your debts'!$F$9&lt;&gt;"",'Your debts'!$F$12&lt;'Your debts'!$F$9),AL34,0)+IF(AND('Your debts'!$F$13&lt;&gt;"",'Your debts'!$F$9&lt;&gt;"",'Your debts'!$F$13&lt;'Your debts'!$F$9),AQ34,0)+IF(AND('Your debts'!$F$14&lt;&gt;"",'Your debts'!$F$9&lt;&gt;"",'Your debts'!$F$14&lt;'Your debts'!$F$9),AV34,0)+IF(AND('Your debts'!$F$15&lt;&gt;"",'Your debts'!$F$9&lt;&gt;"",'Your debts'!$F$15&lt;'Your debts'!$F$9),BA34,0)))))</f>
        <v/>
      </c>
      <c r="Y34" s="33">
        <f>W34-X34</f>
        <v/>
      </c>
      <c r="Z34" s="33">
        <f>IF(AD33&lt;=0,0,ROUND(AD33*(1+'Your debts'!$D$10/1200),2))</f>
        <v/>
      </c>
      <c r="AA34" s="33">
        <f>IF(Z34&lt;=0,0,MIN('Your debts'!$E$10,Z34))</f>
        <v/>
      </c>
      <c r="AB34" s="33">
        <f>Z34-AA34</f>
        <v/>
      </c>
      <c r="AC34" s="33">
        <f>IF('Your debts'!$F$10="",0,MIN(AB34,MAX(0,MAX(0,'Your debts'!$C$19-(G34+L34+Q34+V34+AA34+AF34+AK34+AP34+AU34+AZ34))-(IF(AND('Your debts'!$F$6&lt;&gt;"",'Your debts'!$F$10&lt;&gt;"",'Your debts'!$F$6&lt;'Your debts'!$F$10),H34,0)+IF(AND('Your debts'!$F$7&lt;&gt;"",'Your debts'!$F$10&lt;&gt;"",'Your debts'!$F$7&lt;'Your debts'!$F$10),M34,0)+IF(AND('Your debts'!$F$8&lt;&gt;"",'Your debts'!$F$10&lt;&gt;"",'Your debts'!$F$8&lt;'Your debts'!$F$10),R34,0)+IF(AND('Your debts'!$F$9&lt;&gt;"",'Your debts'!$F$10&lt;&gt;"",'Your debts'!$F$9&lt;'Your debts'!$F$10),W34,0)+IF(AND('Your debts'!$F$11&lt;&gt;"",'Your debts'!$F$10&lt;&gt;"",'Your debts'!$F$11&lt;'Your debts'!$F$10),AG34,0)+IF(AND('Your debts'!$F$12&lt;&gt;"",'Your debts'!$F$10&lt;&gt;"",'Your debts'!$F$12&lt;'Your debts'!$F$10),AL34,0)+IF(AND('Your debts'!$F$13&lt;&gt;"",'Your debts'!$F$10&lt;&gt;"",'Your debts'!$F$13&lt;'Your debts'!$F$10),AQ34,0)+IF(AND('Your debts'!$F$14&lt;&gt;"",'Your debts'!$F$10&lt;&gt;"",'Your debts'!$F$14&lt;'Your debts'!$F$10),AV34,0)+IF(AND('Your debts'!$F$15&lt;&gt;"",'Your debts'!$F$10&lt;&gt;"",'Your debts'!$F$15&lt;'Your debts'!$F$10),BA34,0)))))</f>
        <v/>
      </c>
      <c r="AD34" s="33">
        <f>AB34-AC34</f>
        <v/>
      </c>
      <c r="AE34" s="33">
        <f>IF(AI33&lt;=0,0,ROUND(AI33*(1+'Your debts'!$D$11/1200),2))</f>
        <v/>
      </c>
      <c r="AF34" s="33">
        <f>IF(AE34&lt;=0,0,MIN('Your debts'!$E$11,AE34))</f>
        <v/>
      </c>
      <c r="AG34" s="33">
        <f>AE34-AF34</f>
        <v/>
      </c>
      <c r="AH34" s="33">
        <f>IF('Your debts'!$F$11="",0,MIN(AG34,MAX(0,MAX(0,'Your debts'!$C$19-(G34+L34+Q34+V34+AA34+AF34+AK34+AP34+AU34+AZ34))-(IF(AND('Your debts'!$F$6&lt;&gt;"",'Your debts'!$F$11&lt;&gt;"",'Your debts'!$F$6&lt;'Your debts'!$F$11),H34,0)+IF(AND('Your debts'!$F$7&lt;&gt;"",'Your debts'!$F$11&lt;&gt;"",'Your debts'!$F$7&lt;'Your debts'!$F$11),M34,0)+IF(AND('Your debts'!$F$8&lt;&gt;"",'Your debts'!$F$11&lt;&gt;"",'Your debts'!$F$8&lt;'Your debts'!$F$11),R34,0)+IF(AND('Your debts'!$F$9&lt;&gt;"",'Your debts'!$F$11&lt;&gt;"",'Your debts'!$F$9&lt;'Your debts'!$F$11),W34,0)+IF(AND('Your debts'!$F$10&lt;&gt;"",'Your debts'!$F$11&lt;&gt;"",'Your debts'!$F$10&lt;'Your debts'!$F$11),AB34,0)+IF(AND('Your debts'!$F$12&lt;&gt;"",'Your debts'!$F$11&lt;&gt;"",'Your debts'!$F$12&lt;'Your debts'!$F$11),AL34,0)+IF(AND('Your debts'!$F$13&lt;&gt;"",'Your debts'!$F$11&lt;&gt;"",'Your debts'!$F$13&lt;'Your debts'!$F$11),AQ34,0)+IF(AND('Your debts'!$F$14&lt;&gt;"",'Your debts'!$F$11&lt;&gt;"",'Your debts'!$F$14&lt;'Your debts'!$F$11),AV34,0)+IF(AND('Your debts'!$F$15&lt;&gt;"",'Your debts'!$F$11&lt;&gt;"",'Your debts'!$F$15&lt;'Your debts'!$F$11),BA34,0)))))</f>
        <v/>
      </c>
      <c r="AI34" s="33">
        <f>AG34-AH34</f>
        <v/>
      </c>
      <c r="AJ34" s="33">
        <f>IF(AN33&lt;=0,0,ROUND(AN33*(1+'Your debts'!$D$12/1200),2))</f>
        <v/>
      </c>
      <c r="AK34" s="33">
        <f>IF(AJ34&lt;=0,0,MIN('Your debts'!$E$12,AJ34))</f>
        <v/>
      </c>
      <c r="AL34" s="33">
        <f>AJ34-AK34</f>
        <v/>
      </c>
      <c r="AM34" s="33">
        <f>IF('Your debts'!$F$12="",0,MIN(AL34,MAX(0,MAX(0,'Your debts'!$C$19-(G34+L34+Q34+V34+AA34+AF34+AK34+AP34+AU34+AZ34))-(IF(AND('Your debts'!$F$6&lt;&gt;"",'Your debts'!$F$12&lt;&gt;"",'Your debts'!$F$6&lt;'Your debts'!$F$12),H34,0)+IF(AND('Your debts'!$F$7&lt;&gt;"",'Your debts'!$F$12&lt;&gt;"",'Your debts'!$F$7&lt;'Your debts'!$F$12),M34,0)+IF(AND('Your debts'!$F$8&lt;&gt;"",'Your debts'!$F$12&lt;&gt;"",'Your debts'!$F$8&lt;'Your debts'!$F$12),R34,0)+IF(AND('Your debts'!$F$9&lt;&gt;"",'Your debts'!$F$12&lt;&gt;"",'Your debts'!$F$9&lt;'Your debts'!$F$12),W34,0)+IF(AND('Your debts'!$F$10&lt;&gt;"",'Your debts'!$F$12&lt;&gt;"",'Your debts'!$F$10&lt;'Your debts'!$F$12),AB34,0)+IF(AND('Your debts'!$F$11&lt;&gt;"",'Your debts'!$F$12&lt;&gt;"",'Your debts'!$F$11&lt;'Your debts'!$F$12),AG34,0)+IF(AND('Your debts'!$F$13&lt;&gt;"",'Your debts'!$F$12&lt;&gt;"",'Your debts'!$F$13&lt;'Your debts'!$F$12),AQ34,0)+IF(AND('Your debts'!$F$14&lt;&gt;"",'Your debts'!$F$12&lt;&gt;"",'Your debts'!$F$14&lt;'Your debts'!$F$12),AV34,0)+IF(AND('Your debts'!$F$15&lt;&gt;"",'Your debts'!$F$12&lt;&gt;"",'Your debts'!$F$15&lt;'Your debts'!$F$12),BA34,0)))))</f>
        <v/>
      </c>
      <c r="AN34" s="33">
        <f>AL34-AM34</f>
        <v/>
      </c>
      <c r="AO34" s="33">
        <f>IF(AS33&lt;=0,0,ROUND(AS33*(1+'Your debts'!$D$13/1200),2))</f>
        <v/>
      </c>
      <c r="AP34" s="33">
        <f>IF(AO34&lt;=0,0,MIN('Your debts'!$E$13,AO34))</f>
        <v/>
      </c>
      <c r="AQ34" s="33">
        <f>AO34-AP34</f>
        <v/>
      </c>
      <c r="AR34" s="33">
        <f>IF('Your debts'!$F$13="",0,MIN(AQ34,MAX(0,MAX(0,'Your debts'!$C$19-(G34+L34+Q34+V34+AA34+AF34+AK34+AP34+AU34+AZ34))-(IF(AND('Your debts'!$F$6&lt;&gt;"",'Your debts'!$F$13&lt;&gt;"",'Your debts'!$F$6&lt;'Your debts'!$F$13),H34,0)+IF(AND('Your debts'!$F$7&lt;&gt;"",'Your debts'!$F$13&lt;&gt;"",'Your debts'!$F$7&lt;'Your debts'!$F$13),M34,0)+IF(AND('Your debts'!$F$8&lt;&gt;"",'Your debts'!$F$13&lt;&gt;"",'Your debts'!$F$8&lt;'Your debts'!$F$13),R34,0)+IF(AND('Your debts'!$F$9&lt;&gt;"",'Your debts'!$F$13&lt;&gt;"",'Your debts'!$F$9&lt;'Your debts'!$F$13),W34,0)+IF(AND('Your debts'!$F$10&lt;&gt;"",'Your debts'!$F$13&lt;&gt;"",'Your debts'!$F$10&lt;'Your debts'!$F$13),AB34,0)+IF(AND('Your debts'!$F$11&lt;&gt;"",'Your debts'!$F$13&lt;&gt;"",'Your debts'!$F$11&lt;'Your debts'!$F$13),AG34,0)+IF(AND('Your debts'!$F$12&lt;&gt;"",'Your debts'!$F$13&lt;&gt;"",'Your debts'!$F$12&lt;'Your debts'!$F$13),AL34,0)+IF(AND('Your debts'!$F$14&lt;&gt;"",'Your debts'!$F$13&lt;&gt;"",'Your debts'!$F$14&lt;'Your debts'!$F$13),AV34,0)+IF(AND('Your debts'!$F$15&lt;&gt;"",'Your debts'!$F$13&lt;&gt;"",'Your debts'!$F$15&lt;'Your debts'!$F$13),BA34,0)))))</f>
        <v/>
      </c>
      <c r="AS34" s="33">
        <f>AQ34-AR34</f>
        <v/>
      </c>
      <c r="AT34" s="33">
        <f>IF(AX33&lt;=0,0,ROUND(AX33*(1+'Your debts'!$D$14/1200),2))</f>
        <v/>
      </c>
      <c r="AU34" s="33">
        <f>IF(AT34&lt;=0,0,MIN('Your debts'!$E$14,AT34))</f>
        <v/>
      </c>
      <c r="AV34" s="33">
        <f>AT34-AU34</f>
        <v/>
      </c>
      <c r="AW34" s="33">
        <f>IF('Your debts'!$F$14="",0,MIN(AV34,MAX(0,MAX(0,'Your debts'!$C$19-(G34+L34+Q34+V34+AA34+AF34+AK34+AP34+AU34+AZ34))-(IF(AND('Your debts'!$F$6&lt;&gt;"",'Your debts'!$F$14&lt;&gt;"",'Your debts'!$F$6&lt;'Your debts'!$F$14),H34,0)+IF(AND('Your debts'!$F$7&lt;&gt;"",'Your debts'!$F$14&lt;&gt;"",'Your debts'!$F$7&lt;'Your debts'!$F$14),M34,0)+IF(AND('Your debts'!$F$8&lt;&gt;"",'Your debts'!$F$14&lt;&gt;"",'Your debts'!$F$8&lt;'Your debts'!$F$14),R34,0)+IF(AND('Your debts'!$F$9&lt;&gt;"",'Your debts'!$F$14&lt;&gt;"",'Your debts'!$F$9&lt;'Your debts'!$F$14),W34,0)+IF(AND('Your debts'!$F$10&lt;&gt;"",'Your debts'!$F$14&lt;&gt;"",'Your debts'!$F$10&lt;'Your debts'!$F$14),AB34,0)+IF(AND('Your debts'!$F$11&lt;&gt;"",'Your debts'!$F$14&lt;&gt;"",'Your debts'!$F$11&lt;'Your debts'!$F$14),AG34,0)+IF(AND('Your debts'!$F$12&lt;&gt;"",'Your debts'!$F$14&lt;&gt;"",'Your debts'!$F$12&lt;'Your debts'!$F$14),AL34,0)+IF(AND('Your debts'!$F$13&lt;&gt;"",'Your debts'!$F$14&lt;&gt;"",'Your debts'!$F$13&lt;'Your debts'!$F$14),AQ34,0)+IF(AND('Your debts'!$F$15&lt;&gt;"",'Your debts'!$F$14&lt;&gt;"",'Your debts'!$F$15&lt;'Your debts'!$F$14),BA34,0)))))</f>
        <v/>
      </c>
      <c r="AX34" s="33">
        <f>AV34-AW34</f>
        <v/>
      </c>
      <c r="AY34" s="33">
        <f>IF(BC33&lt;=0,0,ROUND(BC33*(1+'Your debts'!$D$15/1200),2))</f>
        <v/>
      </c>
      <c r="AZ34" s="33">
        <f>IF(AY34&lt;=0,0,MIN('Your debts'!$E$15,AY34))</f>
        <v/>
      </c>
      <c r="BA34" s="33">
        <f>AY34-AZ34</f>
        <v/>
      </c>
      <c r="BB34" s="33">
        <f>IF('Your debts'!$F$15="",0,MIN(BA34,MAX(0,MAX(0,'Your debts'!$C$19-(G34+L34+Q34+V34+AA34+AF34+AK34+AP34+AU34+AZ34))-(IF(AND('Your debts'!$F$6&lt;&gt;"",'Your debts'!$F$15&lt;&gt;"",'Your debts'!$F$6&lt;'Your debts'!$F$15),H34,0)+IF(AND('Your debts'!$F$7&lt;&gt;"",'Your debts'!$F$15&lt;&gt;"",'Your debts'!$F$7&lt;'Your debts'!$F$15),M34,0)+IF(AND('Your debts'!$F$8&lt;&gt;"",'Your debts'!$F$15&lt;&gt;"",'Your debts'!$F$8&lt;'Your debts'!$F$15),R34,0)+IF(AND('Your debts'!$F$9&lt;&gt;"",'Your debts'!$F$15&lt;&gt;"",'Your debts'!$F$9&lt;'Your debts'!$F$15),W34,0)+IF(AND('Your debts'!$F$10&lt;&gt;"",'Your debts'!$F$15&lt;&gt;"",'Your debts'!$F$10&lt;'Your debts'!$F$15),AB34,0)+IF(AND('Your debts'!$F$11&lt;&gt;"",'Your debts'!$F$15&lt;&gt;"",'Your debts'!$F$11&lt;'Your debts'!$F$15),AG34,0)+IF(AND('Your debts'!$F$12&lt;&gt;"",'Your debts'!$F$15&lt;&gt;"",'Your debts'!$F$12&lt;'Your debts'!$F$15),AL34,0)+IF(AND('Your debts'!$F$13&lt;&gt;"",'Your debts'!$F$15&lt;&gt;"",'Your debts'!$F$13&lt;'Your debts'!$F$15),AQ34,0)+IF(AND('Your debts'!$F$14&lt;&gt;"",'Your debts'!$F$15&lt;&gt;"",'Your debts'!$F$14&lt;'Your debts'!$F$15),AV34,0)))))</f>
        <v/>
      </c>
      <c r="BC34" s="33">
        <f>BA34-BB34</f>
        <v/>
      </c>
    </row>
    <row r="35">
      <c r="A35" s="30" t="n">
        <v>20</v>
      </c>
      <c r="B35" s="31">
        <f>EDATE($B$15,20)</f>
        <v/>
      </c>
      <c r="C35" s="32">
        <f>IF(J34&lt;=0,0,F35-J34)+IF(O34&lt;=0,0,K35-O34)+IF(T34&lt;=0,0,P35-T34)+IF(Y34&lt;=0,0,U35-Y34)+IF(AD34&lt;=0,0,Z35-AD34)+IF(AI34&lt;=0,0,AE35-AI34)+IF(AN34&lt;=0,0,AJ35-AN34)+IF(AS34&lt;=0,0,AO35-AS34)+IF(AX34&lt;=0,0,AT35-AX34)+IF(BC34&lt;=0,0,AY35-BC34)</f>
        <v/>
      </c>
      <c r="D35" s="32">
        <f>G35+I35+L35+N35+Q35+S35+V35+X35+AA35+AC35+AF35+AH35+AK35+AM35+AP35+AR35+AU35+AW35+AZ35+BB35</f>
        <v/>
      </c>
      <c r="E35" s="32">
        <f>J35+O35+T35+Y35+AD35+AI35+AN35+AS35+AX35+BC35</f>
        <v/>
      </c>
      <c r="F35" s="33">
        <f>IF(J34&lt;=0,0,ROUND(J34*(1+'Your debts'!$D$6/1200),2))</f>
        <v/>
      </c>
      <c r="G35" s="33">
        <f>IF(F35&lt;=0,0,MIN('Your debts'!$E$6,F35))</f>
        <v/>
      </c>
      <c r="H35" s="33">
        <f>F35-G35</f>
        <v/>
      </c>
      <c r="I35" s="33">
        <f>IF('Your debts'!$F$6="",0,MIN(H35,MAX(0,MAX(0,'Your debts'!$C$19-(G35+L35+Q35+V35+AA35+AF35+AK35+AP35+AU35+AZ35))-(IF(AND('Your debts'!$F$7&lt;&gt;"",'Your debts'!$F$6&lt;&gt;"",'Your debts'!$F$7&lt;'Your debts'!$F$6),M35,0)+IF(AND('Your debts'!$F$8&lt;&gt;"",'Your debts'!$F$6&lt;&gt;"",'Your debts'!$F$8&lt;'Your debts'!$F$6),R35,0)+IF(AND('Your debts'!$F$9&lt;&gt;"",'Your debts'!$F$6&lt;&gt;"",'Your debts'!$F$9&lt;'Your debts'!$F$6),W35,0)+IF(AND('Your debts'!$F$10&lt;&gt;"",'Your debts'!$F$6&lt;&gt;"",'Your debts'!$F$10&lt;'Your debts'!$F$6),AB35,0)+IF(AND('Your debts'!$F$11&lt;&gt;"",'Your debts'!$F$6&lt;&gt;"",'Your debts'!$F$11&lt;'Your debts'!$F$6),AG35,0)+IF(AND('Your debts'!$F$12&lt;&gt;"",'Your debts'!$F$6&lt;&gt;"",'Your debts'!$F$12&lt;'Your debts'!$F$6),AL35,0)+IF(AND('Your debts'!$F$13&lt;&gt;"",'Your debts'!$F$6&lt;&gt;"",'Your debts'!$F$13&lt;'Your debts'!$F$6),AQ35,0)+IF(AND('Your debts'!$F$14&lt;&gt;"",'Your debts'!$F$6&lt;&gt;"",'Your debts'!$F$14&lt;'Your debts'!$F$6),AV35,0)+IF(AND('Your debts'!$F$15&lt;&gt;"",'Your debts'!$F$6&lt;&gt;"",'Your debts'!$F$15&lt;'Your debts'!$F$6),BA35,0)))))</f>
        <v/>
      </c>
      <c r="J35" s="33">
        <f>H35-I35</f>
        <v/>
      </c>
      <c r="K35" s="33">
        <f>IF(O34&lt;=0,0,ROUND(O34*(1+'Your debts'!$D$7/1200),2))</f>
        <v/>
      </c>
      <c r="L35" s="33">
        <f>IF(K35&lt;=0,0,MIN('Your debts'!$E$7,K35))</f>
        <v/>
      </c>
      <c r="M35" s="33">
        <f>K35-L35</f>
        <v/>
      </c>
      <c r="N35" s="33">
        <f>IF('Your debts'!$F$7="",0,MIN(M35,MAX(0,MAX(0,'Your debts'!$C$19-(G35+L35+Q35+V35+AA35+AF35+AK35+AP35+AU35+AZ35))-(IF(AND('Your debts'!$F$6&lt;&gt;"",'Your debts'!$F$7&lt;&gt;"",'Your debts'!$F$6&lt;'Your debts'!$F$7),H35,0)+IF(AND('Your debts'!$F$8&lt;&gt;"",'Your debts'!$F$7&lt;&gt;"",'Your debts'!$F$8&lt;'Your debts'!$F$7),R35,0)+IF(AND('Your debts'!$F$9&lt;&gt;"",'Your debts'!$F$7&lt;&gt;"",'Your debts'!$F$9&lt;'Your debts'!$F$7),W35,0)+IF(AND('Your debts'!$F$10&lt;&gt;"",'Your debts'!$F$7&lt;&gt;"",'Your debts'!$F$10&lt;'Your debts'!$F$7),AB35,0)+IF(AND('Your debts'!$F$11&lt;&gt;"",'Your debts'!$F$7&lt;&gt;"",'Your debts'!$F$11&lt;'Your debts'!$F$7),AG35,0)+IF(AND('Your debts'!$F$12&lt;&gt;"",'Your debts'!$F$7&lt;&gt;"",'Your debts'!$F$12&lt;'Your debts'!$F$7),AL35,0)+IF(AND('Your debts'!$F$13&lt;&gt;"",'Your debts'!$F$7&lt;&gt;"",'Your debts'!$F$13&lt;'Your debts'!$F$7),AQ35,0)+IF(AND('Your debts'!$F$14&lt;&gt;"",'Your debts'!$F$7&lt;&gt;"",'Your debts'!$F$14&lt;'Your debts'!$F$7),AV35,0)+IF(AND('Your debts'!$F$15&lt;&gt;"",'Your debts'!$F$7&lt;&gt;"",'Your debts'!$F$15&lt;'Your debts'!$F$7),BA35,0)))))</f>
        <v/>
      </c>
      <c r="O35" s="33">
        <f>M35-N35</f>
        <v/>
      </c>
      <c r="P35" s="33">
        <f>IF(T34&lt;=0,0,ROUND(T34*(1+'Your debts'!$D$8/1200),2))</f>
        <v/>
      </c>
      <c r="Q35" s="33">
        <f>IF(P35&lt;=0,0,MIN('Your debts'!$E$8,P35))</f>
        <v/>
      </c>
      <c r="R35" s="33">
        <f>P35-Q35</f>
        <v/>
      </c>
      <c r="S35" s="33">
        <f>IF('Your debts'!$F$8="",0,MIN(R35,MAX(0,MAX(0,'Your debts'!$C$19-(G35+L35+Q35+V35+AA35+AF35+AK35+AP35+AU35+AZ35))-(IF(AND('Your debts'!$F$6&lt;&gt;"",'Your debts'!$F$8&lt;&gt;"",'Your debts'!$F$6&lt;'Your debts'!$F$8),H35,0)+IF(AND('Your debts'!$F$7&lt;&gt;"",'Your debts'!$F$8&lt;&gt;"",'Your debts'!$F$7&lt;'Your debts'!$F$8),M35,0)+IF(AND('Your debts'!$F$9&lt;&gt;"",'Your debts'!$F$8&lt;&gt;"",'Your debts'!$F$9&lt;'Your debts'!$F$8),W35,0)+IF(AND('Your debts'!$F$10&lt;&gt;"",'Your debts'!$F$8&lt;&gt;"",'Your debts'!$F$10&lt;'Your debts'!$F$8),AB35,0)+IF(AND('Your debts'!$F$11&lt;&gt;"",'Your debts'!$F$8&lt;&gt;"",'Your debts'!$F$11&lt;'Your debts'!$F$8),AG35,0)+IF(AND('Your debts'!$F$12&lt;&gt;"",'Your debts'!$F$8&lt;&gt;"",'Your debts'!$F$12&lt;'Your debts'!$F$8),AL35,0)+IF(AND('Your debts'!$F$13&lt;&gt;"",'Your debts'!$F$8&lt;&gt;"",'Your debts'!$F$13&lt;'Your debts'!$F$8),AQ35,0)+IF(AND('Your debts'!$F$14&lt;&gt;"",'Your debts'!$F$8&lt;&gt;"",'Your debts'!$F$14&lt;'Your debts'!$F$8),AV35,0)+IF(AND('Your debts'!$F$15&lt;&gt;"",'Your debts'!$F$8&lt;&gt;"",'Your debts'!$F$15&lt;'Your debts'!$F$8),BA35,0)))))</f>
        <v/>
      </c>
      <c r="T35" s="33">
        <f>R35-S35</f>
        <v/>
      </c>
      <c r="U35" s="33">
        <f>IF(Y34&lt;=0,0,ROUND(Y34*(1+'Your debts'!$D$9/1200),2))</f>
        <v/>
      </c>
      <c r="V35" s="33">
        <f>IF(U35&lt;=0,0,MIN('Your debts'!$E$9,U35))</f>
        <v/>
      </c>
      <c r="W35" s="33">
        <f>U35-V35</f>
        <v/>
      </c>
      <c r="X35" s="33">
        <f>IF('Your debts'!$F$9="",0,MIN(W35,MAX(0,MAX(0,'Your debts'!$C$19-(G35+L35+Q35+V35+AA35+AF35+AK35+AP35+AU35+AZ35))-(IF(AND('Your debts'!$F$6&lt;&gt;"",'Your debts'!$F$9&lt;&gt;"",'Your debts'!$F$6&lt;'Your debts'!$F$9),H35,0)+IF(AND('Your debts'!$F$7&lt;&gt;"",'Your debts'!$F$9&lt;&gt;"",'Your debts'!$F$7&lt;'Your debts'!$F$9),M35,0)+IF(AND('Your debts'!$F$8&lt;&gt;"",'Your debts'!$F$9&lt;&gt;"",'Your debts'!$F$8&lt;'Your debts'!$F$9),R35,0)+IF(AND('Your debts'!$F$10&lt;&gt;"",'Your debts'!$F$9&lt;&gt;"",'Your debts'!$F$10&lt;'Your debts'!$F$9),AB35,0)+IF(AND('Your debts'!$F$11&lt;&gt;"",'Your debts'!$F$9&lt;&gt;"",'Your debts'!$F$11&lt;'Your debts'!$F$9),AG35,0)+IF(AND('Your debts'!$F$12&lt;&gt;"",'Your debts'!$F$9&lt;&gt;"",'Your debts'!$F$12&lt;'Your debts'!$F$9),AL35,0)+IF(AND('Your debts'!$F$13&lt;&gt;"",'Your debts'!$F$9&lt;&gt;"",'Your debts'!$F$13&lt;'Your debts'!$F$9),AQ35,0)+IF(AND('Your debts'!$F$14&lt;&gt;"",'Your debts'!$F$9&lt;&gt;"",'Your debts'!$F$14&lt;'Your debts'!$F$9),AV35,0)+IF(AND('Your debts'!$F$15&lt;&gt;"",'Your debts'!$F$9&lt;&gt;"",'Your debts'!$F$15&lt;'Your debts'!$F$9),BA35,0)))))</f>
        <v/>
      </c>
      <c r="Y35" s="33">
        <f>W35-X35</f>
        <v/>
      </c>
      <c r="Z35" s="33">
        <f>IF(AD34&lt;=0,0,ROUND(AD34*(1+'Your debts'!$D$10/1200),2))</f>
        <v/>
      </c>
      <c r="AA35" s="33">
        <f>IF(Z35&lt;=0,0,MIN('Your debts'!$E$10,Z35))</f>
        <v/>
      </c>
      <c r="AB35" s="33">
        <f>Z35-AA35</f>
        <v/>
      </c>
      <c r="AC35" s="33">
        <f>IF('Your debts'!$F$10="",0,MIN(AB35,MAX(0,MAX(0,'Your debts'!$C$19-(G35+L35+Q35+V35+AA35+AF35+AK35+AP35+AU35+AZ35))-(IF(AND('Your debts'!$F$6&lt;&gt;"",'Your debts'!$F$10&lt;&gt;"",'Your debts'!$F$6&lt;'Your debts'!$F$10),H35,0)+IF(AND('Your debts'!$F$7&lt;&gt;"",'Your debts'!$F$10&lt;&gt;"",'Your debts'!$F$7&lt;'Your debts'!$F$10),M35,0)+IF(AND('Your debts'!$F$8&lt;&gt;"",'Your debts'!$F$10&lt;&gt;"",'Your debts'!$F$8&lt;'Your debts'!$F$10),R35,0)+IF(AND('Your debts'!$F$9&lt;&gt;"",'Your debts'!$F$10&lt;&gt;"",'Your debts'!$F$9&lt;'Your debts'!$F$10),W35,0)+IF(AND('Your debts'!$F$11&lt;&gt;"",'Your debts'!$F$10&lt;&gt;"",'Your debts'!$F$11&lt;'Your debts'!$F$10),AG35,0)+IF(AND('Your debts'!$F$12&lt;&gt;"",'Your debts'!$F$10&lt;&gt;"",'Your debts'!$F$12&lt;'Your debts'!$F$10),AL35,0)+IF(AND('Your debts'!$F$13&lt;&gt;"",'Your debts'!$F$10&lt;&gt;"",'Your debts'!$F$13&lt;'Your debts'!$F$10),AQ35,0)+IF(AND('Your debts'!$F$14&lt;&gt;"",'Your debts'!$F$10&lt;&gt;"",'Your debts'!$F$14&lt;'Your debts'!$F$10),AV35,0)+IF(AND('Your debts'!$F$15&lt;&gt;"",'Your debts'!$F$10&lt;&gt;"",'Your debts'!$F$15&lt;'Your debts'!$F$10),BA35,0)))))</f>
        <v/>
      </c>
      <c r="AD35" s="33">
        <f>AB35-AC35</f>
        <v/>
      </c>
      <c r="AE35" s="33">
        <f>IF(AI34&lt;=0,0,ROUND(AI34*(1+'Your debts'!$D$11/1200),2))</f>
        <v/>
      </c>
      <c r="AF35" s="33">
        <f>IF(AE35&lt;=0,0,MIN('Your debts'!$E$11,AE35))</f>
        <v/>
      </c>
      <c r="AG35" s="33">
        <f>AE35-AF35</f>
        <v/>
      </c>
      <c r="AH35" s="33">
        <f>IF('Your debts'!$F$11="",0,MIN(AG35,MAX(0,MAX(0,'Your debts'!$C$19-(G35+L35+Q35+V35+AA35+AF35+AK35+AP35+AU35+AZ35))-(IF(AND('Your debts'!$F$6&lt;&gt;"",'Your debts'!$F$11&lt;&gt;"",'Your debts'!$F$6&lt;'Your debts'!$F$11),H35,0)+IF(AND('Your debts'!$F$7&lt;&gt;"",'Your debts'!$F$11&lt;&gt;"",'Your debts'!$F$7&lt;'Your debts'!$F$11),M35,0)+IF(AND('Your debts'!$F$8&lt;&gt;"",'Your debts'!$F$11&lt;&gt;"",'Your debts'!$F$8&lt;'Your debts'!$F$11),R35,0)+IF(AND('Your debts'!$F$9&lt;&gt;"",'Your debts'!$F$11&lt;&gt;"",'Your debts'!$F$9&lt;'Your debts'!$F$11),W35,0)+IF(AND('Your debts'!$F$10&lt;&gt;"",'Your debts'!$F$11&lt;&gt;"",'Your debts'!$F$10&lt;'Your debts'!$F$11),AB35,0)+IF(AND('Your debts'!$F$12&lt;&gt;"",'Your debts'!$F$11&lt;&gt;"",'Your debts'!$F$12&lt;'Your debts'!$F$11),AL35,0)+IF(AND('Your debts'!$F$13&lt;&gt;"",'Your debts'!$F$11&lt;&gt;"",'Your debts'!$F$13&lt;'Your debts'!$F$11),AQ35,0)+IF(AND('Your debts'!$F$14&lt;&gt;"",'Your debts'!$F$11&lt;&gt;"",'Your debts'!$F$14&lt;'Your debts'!$F$11),AV35,0)+IF(AND('Your debts'!$F$15&lt;&gt;"",'Your debts'!$F$11&lt;&gt;"",'Your debts'!$F$15&lt;'Your debts'!$F$11),BA35,0)))))</f>
        <v/>
      </c>
      <c r="AI35" s="33">
        <f>AG35-AH35</f>
        <v/>
      </c>
      <c r="AJ35" s="33">
        <f>IF(AN34&lt;=0,0,ROUND(AN34*(1+'Your debts'!$D$12/1200),2))</f>
        <v/>
      </c>
      <c r="AK35" s="33">
        <f>IF(AJ35&lt;=0,0,MIN('Your debts'!$E$12,AJ35))</f>
        <v/>
      </c>
      <c r="AL35" s="33">
        <f>AJ35-AK35</f>
        <v/>
      </c>
      <c r="AM35" s="33">
        <f>IF('Your debts'!$F$12="",0,MIN(AL35,MAX(0,MAX(0,'Your debts'!$C$19-(G35+L35+Q35+V35+AA35+AF35+AK35+AP35+AU35+AZ35))-(IF(AND('Your debts'!$F$6&lt;&gt;"",'Your debts'!$F$12&lt;&gt;"",'Your debts'!$F$6&lt;'Your debts'!$F$12),H35,0)+IF(AND('Your debts'!$F$7&lt;&gt;"",'Your debts'!$F$12&lt;&gt;"",'Your debts'!$F$7&lt;'Your debts'!$F$12),M35,0)+IF(AND('Your debts'!$F$8&lt;&gt;"",'Your debts'!$F$12&lt;&gt;"",'Your debts'!$F$8&lt;'Your debts'!$F$12),R35,0)+IF(AND('Your debts'!$F$9&lt;&gt;"",'Your debts'!$F$12&lt;&gt;"",'Your debts'!$F$9&lt;'Your debts'!$F$12),W35,0)+IF(AND('Your debts'!$F$10&lt;&gt;"",'Your debts'!$F$12&lt;&gt;"",'Your debts'!$F$10&lt;'Your debts'!$F$12),AB35,0)+IF(AND('Your debts'!$F$11&lt;&gt;"",'Your debts'!$F$12&lt;&gt;"",'Your debts'!$F$11&lt;'Your debts'!$F$12),AG35,0)+IF(AND('Your debts'!$F$13&lt;&gt;"",'Your debts'!$F$12&lt;&gt;"",'Your debts'!$F$13&lt;'Your debts'!$F$12),AQ35,0)+IF(AND('Your debts'!$F$14&lt;&gt;"",'Your debts'!$F$12&lt;&gt;"",'Your debts'!$F$14&lt;'Your debts'!$F$12),AV35,0)+IF(AND('Your debts'!$F$15&lt;&gt;"",'Your debts'!$F$12&lt;&gt;"",'Your debts'!$F$15&lt;'Your debts'!$F$12),BA35,0)))))</f>
        <v/>
      </c>
      <c r="AN35" s="33">
        <f>AL35-AM35</f>
        <v/>
      </c>
      <c r="AO35" s="33">
        <f>IF(AS34&lt;=0,0,ROUND(AS34*(1+'Your debts'!$D$13/1200),2))</f>
        <v/>
      </c>
      <c r="AP35" s="33">
        <f>IF(AO35&lt;=0,0,MIN('Your debts'!$E$13,AO35))</f>
        <v/>
      </c>
      <c r="AQ35" s="33">
        <f>AO35-AP35</f>
        <v/>
      </c>
      <c r="AR35" s="33">
        <f>IF('Your debts'!$F$13="",0,MIN(AQ35,MAX(0,MAX(0,'Your debts'!$C$19-(G35+L35+Q35+V35+AA35+AF35+AK35+AP35+AU35+AZ35))-(IF(AND('Your debts'!$F$6&lt;&gt;"",'Your debts'!$F$13&lt;&gt;"",'Your debts'!$F$6&lt;'Your debts'!$F$13),H35,0)+IF(AND('Your debts'!$F$7&lt;&gt;"",'Your debts'!$F$13&lt;&gt;"",'Your debts'!$F$7&lt;'Your debts'!$F$13),M35,0)+IF(AND('Your debts'!$F$8&lt;&gt;"",'Your debts'!$F$13&lt;&gt;"",'Your debts'!$F$8&lt;'Your debts'!$F$13),R35,0)+IF(AND('Your debts'!$F$9&lt;&gt;"",'Your debts'!$F$13&lt;&gt;"",'Your debts'!$F$9&lt;'Your debts'!$F$13),W35,0)+IF(AND('Your debts'!$F$10&lt;&gt;"",'Your debts'!$F$13&lt;&gt;"",'Your debts'!$F$10&lt;'Your debts'!$F$13),AB35,0)+IF(AND('Your debts'!$F$11&lt;&gt;"",'Your debts'!$F$13&lt;&gt;"",'Your debts'!$F$11&lt;'Your debts'!$F$13),AG35,0)+IF(AND('Your debts'!$F$12&lt;&gt;"",'Your debts'!$F$13&lt;&gt;"",'Your debts'!$F$12&lt;'Your debts'!$F$13),AL35,0)+IF(AND('Your debts'!$F$14&lt;&gt;"",'Your debts'!$F$13&lt;&gt;"",'Your debts'!$F$14&lt;'Your debts'!$F$13),AV35,0)+IF(AND('Your debts'!$F$15&lt;&gt;"",'Your debts'!$F$13&lt;&gt;"",'Your debts'!$F$15&lt;'Your debts'!$F$13),BA35,0)))))</f>
        <v/>
      </c>
      <c r="AS35" s="33">
        <f>AQ35-AR35</f>
        <v/>
      </c>
      <c r="AT35" s="33">
        <f>IF(AX34&lt;=0,0,ROUND(AX34*(1+'Your debts'!$D$14/1200),2))</f>
        <v/>
      </c>
      <c r="AU35" s="33">
        <f>IF(AT35&lt;=0,0,MIN('Your debts'!$E$14,AT35))</f>
        <v/>
      </c>
      <c r="AV35" s="33">
        <f>AT35-AU35</f>
        <v/>
      </c>
      <c r="AW35" s="33">
        <f>IF('Your debts'!$F$14="",0,MIN(AV35,MAX(0,MAX(0,'Your debts'!$C$19-(G35+L35+Q35+V35+AA35+AF35+AK35+AP35+AU35+AZ35))-(IF(AND('Your debts'!$F$6&lt;&gt;"",'Your debts'!$F$14&lt;&gt;"",'Your debts'!$F$6&lt;'Your debts'!$F$14),H35,0)+IF(AND('Your debts'!$F$7&lt;&gt;"",'Your debts'!$F$14&lt;&gt;"",'Your debts'!$F$7&lt;'Your debts'!$F$14),M35,0)+IF(AND('Your debts'!$F$8&lt;&gt;"",'Your debts'!$F$14&lt;&gt;"",'Your debts'!$F$8&lt;'Your debts'!$F$14),R35,0)+IF(AND('Your debts'!$F$9&lt;&gt;"",'Your debts'!$F$14&lt;&gt;"",'Your debts'!$F$9&lt;'Your debts'!$F$14),W35,0)+IF(AND('Your debts'!$F$10&lt;&gt;"",'Your debts'!$F$14&lt;&gt;"",'Your debts'!$F$10&lt;'Your debts'!$F$14),AB35,0)+IF(AND('Your debts'!$F$11&lt;&gt;"",'Your debts'!$F$14&lt;&gt;"",'Your debts'!$F$11&lt;'Your debts'!$F$14),AG35,0)+IF(AND('Your debts'!$F$12&lt;&gt;"",'Your debts'!$F$14&lt;&gt;"",'Your debts'!$F$12&lt;'Your debts'!$F$14),AL35,0)+IF(AND('Your debts'!$F$13&lt;&gt;"",'Your debts'!$F$14&lt;&gt;"",'Your debts'!$F$13&lt;'Your debts'!$F$14),AQ35,0)+IF(AND('Your debts'!$F$15&lt;&gt;"",'Your debts'!$F$14&lt;&gt;"",'Your debts'!$F$15&lt;'Your debts'!$F$14),BA35,0)))))</f>
        <v/>
      </c>
      <c r="AX35" s="33">
        <f>AV35-AW35</f>
        <v/>
      </c>
      <c r="AY35" s="33">
        <f>IF(BC34&lt;=0,0,ROUND(BC34*(1+'Your debts'!$D$15/1200),2))</f>
        <v/>
      </c>
      <c r="AZ35" s="33">
        <f>IF(AY35&lt;=0,0,MIN('Your debts'!$E$15,AY35))</f>
        <v/>
      </c>
      <c r="BA35" s="33">
        <f>AY35-AZ35</f>
        <v/>
      </c>
      <c r="BB35" s="33">
        <f>IF('Your debts'!$F$15="",0,MIN(BA35,MAX(0,MAX(0,'Your debts'!$C$19-(G35+L35+Q35+V35+AA35+AF35+AK35+AP35+AU35+AZ35))-(IF(AND('Your debts'!$F$6&lt;&gt;"",'Your debts'!$F$15&lt;&gt;"",'Your debts'!$F$6&lt;'Your debts'!$F$15),H35,0)+IF(AND('Your debts'!$F$7&lt;&gt;"",'Your debts'!$F$15&lt;&gt;"",'Your debts'!$F$7&lt;'Your debts'!$F$15),M35,0)+IF(AND('Your debts'!$F$8&lt;&gt;"",'Your debts'!$F$15&lt;&gt;"",'Your debts'!$F$8&lt;'Your debts'!$F$15),R35,0)+IF(AND('Your debts'!$F$9&lt;&gt;"",'Your debts'!$F$15&lt;&gt;"",'Your debts'!$F$9&lt;'Your debts'!$F$15),W35,0)+IF(AND('Your debts'!$F$10&lt;&gt;"",'Your debts'!$F$15&lt;&gt;"",'Your debts'!$F$10&lt;'Your debts'!$F$15),AB35,0)+IF(AND('Your debts'!$F$11&lt;&gt;"",'Your debts'!$F$15&lt;&gt;"",'Your debts'!$F$11&lt;'Your debts'!$F$15),AG35,0)+IF(AND('Your debts'!$F$12&lt;&gt;"",'Your debts'!$F$15&lt;&gt;"",'Your debts'!$F$12&lt;'Your debts'!$F$15),AL35,0)+IF(AND('Your debts'!$F$13&lt;&gt;"",'Your debts'!$F$15&lt;&gt;"",'Your debts'!$F$13&lt;'Your debts'!$F$15),AQ35,0)+IF(AND('Your debts'!$F$14&lt;&gt;"",'Your debts'!$F$15&lt;&gt;"",'Your debts'!$F$14&lt;'Your debts'!$F$15),AV35,0)))))</f>
        <v/>
      </c>
      <c r="BC35" s="33">
        <f>BA35-BB35</f>
        <v/>
      </c>
    </row>
    <row r="36">
      <c r="A36" s="30" t="n">
        <v>21</v>
      </c>
      <c r="B36" s="31">
        <f>EDATE($B$15,21)</f>
        <v/>
      </c>
      <c r="C36" s="32">
        <f>IF(J35&lt;=0,0,F36-J35)+IF(O35&lt;=0,0,K36-O35)+IF(T35&lt;=0,0,P36-T35)+IF(Y35&lt;=0,0,U36-Y35)+IF(AD35&lt;=0,0,Z36-AD35)+IF(AI35&lt;=0,0,AE36-AI35)+IF(AN35&lt;=0,0,AJ36-AN35)+IF(AS35&lt;=0,0,AO36-AS35)+IF(AX35&lt;=0,0,AT36-AX35)+IF(BC35&lt;=0,0,AY36-BC35)</f>
        <v/>
      </c>
      <c r="D36" s="32">
        <f>G36+I36+L36+N36+Q36+S36+V36+X36+AA36+AC36+AF36+AH36+AK36+AM36+AP36+AR36+AU36+AW36+AZ36+BB36</f>
        <v/>
      </c>
      <c r="E36" s="32">
        <f>J36+O36+T36+Y36+AD36+AI36+AN36+AS36+AX36+BC36</f>
        <v/>
      </c>
      <c r="F36" s="33">
        <f>IF(J35&lt;=0,0,ROUND(J35*(1+'Your debts'!$D$6/1200),2))</f>
        <v/>
      </c>
      <c r="G36" s="33">
        <f>IF(F36&lt;=0,0,MIN('Your debts'!$E$6,F36))</f>
        <v/>
      </c>
      <c r="H36" s="33">
        <f>F36-G36</f>
        <v/>
      </c>
      <c r="I36" s="33">
        <f>IF('Your debts'!$F$6="",0,MIN(H36,MAX(0,MAX(0,'Your debts'!$C$19-(G36+L36+Q36+V36+AA36+AF36+AK36+AP36+AU36+AZ36))-(IF(AND('Your debts'!$F$7&lt;&gt;"",'Your debts'!$F$6&lt;&gt;"",'Your debts'!$F$7&lt;'Your debts'!$F$6),M36,0)+IF(AND('Your debts'!$F$8&lt;&gt;"",'Your debts'!$F$6&lt;&gt;"",'Your debts'!$F$8&lt;'Your debts'!$F$6),R36,0)+IF(AND('Your debts'!$F$9&lt;&gt;"",'Your debts'!$F$6&lt;&gt;"",'Your debts'!$F$9&lt;'Your debts'!$F$6),W36,0)+IF(AND('Your debts'!$F$10&lt;&gt;"",'Your debts'!$F$6&lt;&gt;"",'Your debts'!$F$10&lt;'Your debts'!$F$6),AB36,0)+IF(AND('Your debts'!$F$11&lt;&gt;"",'Your debts'!$F$6&lt;&gt;"",'Your debts'!$F$11&lt;'Your debts'!$F$6),AG36,0)+IF(AND('Your debts'!$F$12&lt;&gt;"",'Your debts'!$F$6&lt;&gt;"",'Your debts'!$F$12&lt;'Your debts'!$F$6),AL36,0)+IF(AND('Your debts'!$F$13&lt;&gt;"",'Your debts'!$F$6&lt;&gt;"",'Your debts'!$F$13&lt;'Your debts'!$F$6),AQ36,0)+IF(AND('Your debts'!$F$14&lt;&gt;"",'Your debts'!$F$6&lt;&gt;"",'Your debts'!$F$14&lt;'Your debts'!$F$6),AV36,0)+IF(AND('Your debts'!$F$15&lt;&gt;"",'Your debts'!$F$6&lt;&gt;"",'Your debts'!$F$15&lt;'Your debts'!$F$6),BA36,0)))))</f>
        <v/>
      </c>
      <c r="J36" s="33">
        <f>H36-I36</f>
        <v/>
      </c>
      <c r="K36" s="33">
        <f>IF(O35&lt;=0,0,ROUND(O35*(1+'Your debts'!$D$7/1200),2))</f>
        <v/>
      </c>
      <c r="L36" s="33">
        <f>IF(K36&lt;=0,0,MIN('Your debts'!$E$7,K36))</f>
        <v/>
      </c>
      <c r="M36" s="33">
        <f>K36-L36</f>
        <v/>
      </c>
      <c r="N36" s="33">
        <f>IF('Your debts'!$F$7="",0,MIN(M36,MAX(0,MAX(0,'Your debts'!$C$19-(G36+L36+Q36+V36+AA36+AF36+AK36+AP36+AU36+AZ36))-(IF(AND('Your debts'!$F$6&lt;&gt;"",'Your debts'!$F$7&lt;&gt;"",'Your debts'!$F$6&lt;'Your debts'!$F$7),H36,0)+IF(AND('Your debts'!$F$8&lt;&gt;"",'Your debts'!$F$7&lt;&gt;"",'Your debts'!$F$8&lt;'Your debts'!$F$7),R36,0)+IF(AND('Your debts'!$F$9&lt;&gt;"",'Your debts'!$F$7&lt;&gt;"",'Your debts'!$F$9&lt;'Your debts'!$F$7),W36,0)+IF(AND('Your debts'!$F$10&lt;&gt;"",'Your debts'!$F$7&lt;&gt;"",'Your debts'!$F$10&lt;'Your debts'!$F$7),AB36,0)+IF(AND('Your debts'!$F$11&lt;&gt;"",'Your debts'!$F$7&lt;&gt;"",'Your debts'!$F$11&lt;'Your debts'!$F$7),AG36,0)+IF(AND('Your debts'!$F$12&lt;&gt;"",'Your debts'!$F$7&lt;&gt;"",'Your debts'!$F$12&lt;'Your debts'!$F$7),AL36,0)+IF(AND('Your debts'!$F$13&lt;&gt;"",'Your debts'!$F$7&lt;&gt;"",'Your debts'!$F$13&lt;'Your debts'!$F$7),AQ36,0)+IF(AND('Your debts'!$F$14&lt;&gt;"",'Your debts'!$F$7&lt;&gt;"",'Your debts'!$F$14&lt;'Your debts'!$F$7),AV36,0)+IF(AND('Your debts'!$F$15&lt;&gt;"",'Your debts'!$F$7&lt;&gt;"",'Your debts'!$F$15&lt;'Your debts'!$F$7),BA36,0)))))</f>
        <v/>
      </c>
      <c r="O36" s="33">
        <f>M36-N36</f>
        <v/>
      </c>
      <c r="P36" s="33">
        <f>IF(T35&lt;=0,0,ROUND(T35*(1+'Your debts'!$D$8/1200),2))</f>
        <v/>
      </c>
      <c r="Q36" s="33">
        <f>IF(P36&lt;=0,0,MIN('Your debts'!$E$8,P36))</f>
        <v/>
      </c>
      <c r="R36" s="33">
        <f>P36-Q36</f>
        <v/>
      </c>
      <c r="S36" s="33">
        <f>IF('Your debts'!$F$8="",0,MIN(R36,MAX(0,MAX(0,'Your debts'!$C$19-(G36+L36+Q36+V36+AA36+AF36+AK36+AP36+AU36+AZ36))-(IF(AND('Your debts'!$F$6&lt;&gt;"",'Your debts'!$F$8&lt;&gt;"",'Your debts'!$F$6&lt;'Your debts'!$F$8),H36,0)+IF(AND('Your debts'!$F$7&lt;&gt;"",'Your debts'!$F$8&lt;&gt;"",'Your debts'!$F$7&lt;'Your debts'!$F$8),M36,0)+IF(AND('Your debts'!$F$9&lt;&gt;"",'Your debts'!$F$8&lt;&gt;"",'Your debts'!$F$9&lt;'Your debts'!$F$8),W36,0)+IF(AND('Your debts'!$F$10&lt;&gt;"",'Your debts'!$F$8&lt;&gt;"",'Your debts'!$F$10&lt;'Your debts'!$F$8),AB36,0)+IF(AND('Your debts'!$F$11&lt;&gt;"",'Your debts'!$F$8&lt;&gt;"",'Your debts'!$F$11&lt;'Your debts'!$F$8),AG36,0)+IF(AND('Your debts'!$F$12&lt;&gt;"",'Your debts'!$F$8&lt;&gt;"",'Your debts'!$F$12&lt;'Your debts'!$F$8),AL36,0)+IF(AND('Your debts'!$F$13&lt;&gt;"",'Your debts'!$F$8&lt;&gt;"",'Your debts'!$F$13&lt;'Your debts'!$F$8),AQ36,0)+IF(AND('Your debts'!$F$14&lt;&gt;"",'Your debts'!$F$8&lt;&gt;"",'Your debts'!$F$14&lt;'Your debts'!$F$8),AV36,0)+IF(AND('Your debts'!$F$15&lt;&gt;"",'Your debts'!$F$8&lt;&gt;"",'Your debts'!$F$15&lt;'Your debts'!$F$8),BA36,0)))))</f>
        <v/>
      </c>
      <c r="T36" s="33">
        <f>R36-S36</f>
        <v/>
      </c>
      <c r="U36" s="33">
        <f>IF(Y35&lt;=0,0,ROUND(Y35*(1+'Your debts'!$D$9/1200),2))</f>
        <v/>
      </c>
      <c r="V36" s="33">
        <f>IF(U36&lt;=0,0,MIN('Your debts'!$E$9,U36))</f>
        <v/>
      </c>
      <c r="W36" s="33">
        <f>U36-V36</f>
        <v/>
      </c>
      <c r="X36" s="33">
        <f>IF('Your debts'!$F$9="",0,MIN(W36,MAX(0,MAX(0,'Your debts'!$C$19-(G36+L36+Q36+V36+AA36+AF36+AK36+AP36+AU36+AZ36))-(IF(AND('Your debts'!$F$6&lt;&gt;"",'Your debts'!$F$9&lt;&gt;"",'Your debts'!$F$6&lt;'Your debts'!$F$9),H36,0)+IF(AND('Your debts'!$F$7&lt;&gt;"",'Your debts'!$F$9&lt;&gt;"",'Your debts'!$F$7&lt;'Your debts'!$F$9),M36,0)+IF(AND('Your debts'!$F$8&lt;&gt;"",'Your debts'!$F$9&lt;&gt;"",'Your debts'!$F$8&lt;'Your debts'!$F$9),R36,0)+IF(AND('Your debts'!$F$10&lt;&gt;"",'Your debts'!$F$9&lt;&gt;"",'Your debts'!$F$10&lt;'Your debts'!$F$9),AB36,0)+IF(AND('Your debts'!$F$11&lt;&gt;"",'Your debts'!$F$9&lt;&gt;"",'Your debts'!$F$11&lt;'Your debts'!$F$9),AG36,0)+IF(AND('Your debts'!$F$12&lt;&gt;"",'Your debts'!$F$9&lt;&gt;"",'Your debts'!$F$12&lt;'Your debts'!$F$9),AL36,0)+IF(AND('Your debts'!$F$13&lt;&gt;"",'Your debts'!$F$9&lt;&gt;"",'Your debts'!$F$13&lt;'Your debts'!$F$9),AQ36,0)+IF(AND('Your debts'!$F$14&lt;&gt;"",'Your debts'!$F$9&lt;&gt;"",'Your debts'!$F$14&lt;'Your debts'!$F$9),AV36,0)+IF(AND('Your debts'!$F$15&lt;&gt;"",'Your debts'!$F$9&lt;&gt;"",'Your debts'!$F$15&lt;'Your debts'!$F$9),BA36,0)))))</f>
        <v/>
      </c>
      <c r="Y36" s="33">
        <f>W36-X36</f>
        <v/>
      </c>
      <c r="Z36" s="33">
        <f>IF(AD35&lt;=0,0,ROUND(AD35*(1+'Your debts'!$D$10/1200),2))</f>
        <v/>
      </c>
      <c r="AA36" s="33">
        <f>IF(Z36&lt;=0,0,MIN('Your debts'!$E$10,Z36))</f>
        <v/>
      </c>
      <c r="AB36" s="33">
        <f>Z36-AA36</f>
        <v/>
      </c>
      <c r="AC36" s="33">
        <f>IF('Your debts'!$F$10="",0,MIN(AB36,MAX(0,MAX(0,'Your debts'!$C$19-(G36+L36+Q36+V36+AA36+AF36+AK36+AP36+AU36+AZ36))-(IF(AND('Your debts'!$F$6&lt;&gt;"",'Your debts'!$F$10&lt;&gt;"",'Your debts'!$F$6&lt;'Your debts'!$F$10),H36,0)+IF(AND('Your debts'!$F$7&lt;&gt;"",'Your debts'!$F$10&lt;&gt;"",'Your debts'!$F$7&lt;'Your debts'!$F$10),M36,0)+IF(AND('Your debts'!$F$8&lt;&gt;"",'Your debts'!$F$10&lt;&gt;"",'Your debts'!$F$8&lt;'Your debts'!$F$10),R36,0)+IF(AND('Your debts'!$F$9&lt;&gt;"",'Your debts'!$F$10&lt;&gt;"",'Your debts'!$F$9&lt;'Your debts'!$F$10),W36,0)+IF(AND('Your debts'!$F$11&lt;&gt;"",'Your debts'!$F$10&lt;&gt;"",'Your debts'!$F$11&lt;'Your debts'!$F$10),AG36,0)+IF(AND('Your debts'!$F$12&lt;&gt;"",'Your debts'!$F$10&lt;&gt;"",'Your debts'!$F$12&lt;'Your debts'!$F$10),AL36,0)+IF(AND('Your debts'!$F$13&lt;&gt;"",'Your debts'!$F$10&lt;&gt;"",'Your debts'!$F$13&lt;'Your debts'!$F$10),AQ36,0)+IF(AND('Your debts'!$F$14&lt;&gt;"",'Your debts'!$F$10&lt;&gt;"",'Your debts'!$F$14&lt;'Your debts'!$F$10),AV36,0)+IF(AND('Your debts'!$F$15&lt;&gt;"",'Your debts'!$F$10&lt;&gt;"",'Your debts'!$F$15&lt;'Your debts'!$F$10),BA36,0)))))</f>
        <v/>
      </c>
      <c r="AD36" s="33">
        <f>AB36-AC36</f>
        <v/>
      </c>
      <c r="AE36" s="33">
        <f>IF(AI35&lt;=0,0,ROUND(AI35*(1+'Your debts'!$D$11/1200),2))</f>
        <v/>
      </c>
      <c r="AF36" s="33">
        <f>IF(AE36&lt;=0,0,MIN('Your debts'!$E$11,AE36))</f>
        <v/>
      </c>
      <c r="AG36" s="33">
        <f>AE36-AF36</f>
        <v/>
      </c>
      <c r="AH36" s="33">
        <f>IF('Your debts'!$F$11="",0,MIN(AG36,MAX(0,MAX(0,'Your debts'!$C$19-(G36+L36+Q36+V36+AA36+AF36+AK36+AP36+AU36+AZ36))-(IF(AND('Your debts'!$F$6&lt;&gt;"",'Your debts'!$F$11&lt;&gt;"",'Your debts'!$F$6&lt;'Your debts'!$F$11),H36,0)+IF(AND('Your debts'!$F$7&lt;&gt;"",'Your debts'!$F$11&lt;&gt;"",'Your debts'!$F$7&lt;'Your debts'!$F$11),M36,0)+IF(AND('Your debts'!$F$8&lt;&gt;"",'Your debts'!$F$11&lt;&gt;"",'Your debts'!$F$8&lt;'Your debts'!$F$11),R36,0)+IF(AND('Your debts'!$F$9&lt;&gt;"",'Your debts'!$F$11&lt;&gt;"",'Your debts'!$F$9&lt;'Your debts'!$F$11),W36,0)+IF(AND('Your debts'!$F$10&lt;&gt;"",'Your debts'!$F$11&lt;&gt;"",'Your debts'!$F$10&lt;'Your debts'!$F$11),AB36,0)+IF(AND('Your debts'!$F$12&lt;&gt;"",'Your debts'!$F$11&lt;&gt;"",'Your debts'!$F$12&lt;'Your debts'!$F$11),AL36,0)+IF(AND('Your debts'!$F$13&lt;&gt;"",'Your debts'!$F$11&lt;&gt;"",'Your debts'!$F$13&lt;'Your debts'!$F$11),AQ36,0)+IF(AND('Your debts'!$F$14&lt;&gt;"",'Your debts'!$F$11&lt;&gt;"",'Your debts'!$F$14&lt;'Your debts'!$F$11),AV36,0)+IF(AND('Your debts'!$F$15&lt;&gt;"",'Your debts'!$F$11&lt;&gt;"",'Your debts'!$F$15&lt;'Your debts'!$F$11),BA36,0)))))</f>
        <v/>
      </c>
      <c r="AI36" s="33">
        <f>AG36-AH36</f>
        <v/>
      </c>
      <c r="AJ36" s="33">
        <f>IF(AN35&lt;=0,0,ROUND(AN35*(1+'Your debts'!$D$12/1200),2))</f>
        <v/>
      </c>
      <c r="AK36" s="33">
        <f>IF(AJ36&lt;=0,0,MIN('Your debts'!$E$12,AJ36))</f>
        <v/>
      </c>
      <c r="AL36" s="33">
        <f>AJ36-AK36</f>
        <v/>
      </c>
      <c r="AM36" s="33">
        <f>IF('Your debts'!$F$12="",0,MIN(AL36,MAX(0,MAX(0,'Your debts'!$C$19-(G36+L36+Q36+V36+AA36+AF36+AK36+AP36+AU36+AZ36))-(IF(AND('Your debts'!$F$6&lt;&gt;"",'Your debts'!$F$12&lt;&gt;"",'Your debts'!$F$6&lt;'Your debts'!$F$12),H36,0)+IF(AND('Your debts'!$F$7&lt;&gt;"",'Your debts'!$F$12&lt;&gt;"",'Your debts'!$F$7&lt;'Your debts'!$F$12),M36,0)+IF(AND('Your debts'!$F$8&lt;&gt;"",'Your debts'!$F$12&lt;&gt;"",'Your debts'!$F$8&lt;'Your debts'!$F$12),R36,0)+IF(AND('Your debts'!$F$9&lt;&gt;"",'Your debts'!$F$12&lt;&gt;"",'Your debts'!$F$9&lt;'Your debts'!$F$12),W36,0)+IF(AND('Your debts'!$F$10&lt;&gt;"",'Your debts'!$F$12&lt;&gt;"",'Your debts'!$F$10&lt;'Your debts'!$F$12),AB36,0)+IF(AND('Your debts'!$F$11&lt;&gt;"",'Your debts'!$F$12&lt;&gt;"",'Your debts'!$F$11&lt;'Your debts'!$F$12),AG36,0)+IF(AND('Your debts'!$F$13&lt;&gt;"",'Your debts'!$F$12&lt;&gt;"",'Your debts'!$F$13&lt;'Your debts'!$F$12),AQ36,0)+IF(AND('Your debts'!$F$14&lt;&gt;"",'Your debts'!$F$12&lt;&gt;"",'Your debts'!$F$14&lt;'Your debts'!$F$12),AV36,0)+IF(AND('Your debts'!$F$15&lt;&gt;"",'Your debts'!$F$12&lt;&gt;"",'Your debts'!$F$15&lt;'Your debts'!$F$12),BA36,0)))))</f>
        <v/>
      </c>
      <c r="AN36" s="33">
        <f>AL36-AM36</f>
        <v/>
      </c>
      <c r="AO36" s="33">
        <f>IF(AS35&lt;=0,0,ROUND(AS35*(1+'Your debts'!$D$13/1200),2))</f>
        <v/>
      </c>
      <c r="AP36" s="33">
        <f>IF(AO36&lt;=0,0,MIN('Your debts'!$E$13,AO36))</f>
        <v/>
      </c>
      <c r="AQ36" s="33">
        <f>AO36-AP36</f>
        <v/>
      </c>
      <c r="AR36" s="33">
        <f>IF('Your debts'!$F$13="",0,MIN(AQ36,MAX(0,MAX(0,'Your debts'!$C$19-(G36+L36+Q36+V36+AA36+AF36+AK36+AP36+AU36+AZ36))-(IF(AND('Your debts'!$F$6&lt;&gt;"",'Your debts'!$F$13&lt;&gt;"",'Your debts'!$F$6&lt;'Your debts'!$F$13),H36,0)+IF(AND('Your debts'!$F$7&lt;&gt;"",'Your debts'!$F$13&lt;&gt;"",'Your debts'!$F$7&lt;'Your debts'!$F$13),M36,0)+IF(AND('Your debts'!$F$8&lt;&gt;"",'Your debts'!$F$13&lt;&gt;"",'Your debts'!$F$8&lt;'Your debts'!$F$13),R36,0)+IF(AND('Your debts'!$F$9&lt;&gt;"",'Your debts'!$F$13&lt;&gt;"",'Your debts'!$F$9&lt;'Your debts'!$F$13),W36,0)+IF(AND('Your debts'!$F$10&lt;&gt;"",'Your debts'!$F$13&lt;&gt;"",'Your debts'!$F$10&lt;'Your debts'!$F$13),AB36,0)+IF(AND('Your debts'!$F$11&lt;&gt;"",'Your debts'!$F$13&lt;&gt;"",'Your debts'!$F$11&lt;'Your debts'!$F$13),AG36,0)+IF(AND('Your debts'!$F$12&lt;&gt;"",'Your debts'!$F$13&lt;&gt;"",'Your debts'!$F$12&lt;'Your debts'!$F$13),AL36,0)+IF(AND('Your debts'!$F$14&lt;&gt;"",'Your debts'!$F$13&lt;&gt;"",'Your debts'!$F$14&lt;'Your debts'!$F$13),AV36,0)+IF(AND('Your debts'!$F$15&lt;&gt;"",'Your debts'!$F$13&lt;&gt;"",'Your debts'!$F$15&lt;'Your debts'!$F$13),BA36,0)))))</f>
        <v/>
      </c>
      <c r="AS36" s="33">
        <f>AQ36-AR36</f>
        <v/>
      </c>
      <c r="AT36" s="33">
        <f>IF(AX35&lt;=0,0,ROUND(AX35*(1+'Your debts'!$D$14/1200),2))</f>
        <v/>
      </c>
      <c r="AU36" s="33">
        <f>IF(AT36&lt;=0,0,MIN('Your debts'!$E$14,AT36))</f>
        <v/>
      </c>
      <c r="AV36" s="33">
        <f>AT36-AU36</f>
        <v/>
      </c>
      <c r="AW36" s="33">
        <f>IF('Your debts'!$F$14="",0,MIN(AV36,MAX(0,MAX(0,'Your debts'!$C$19-(G36+L36+Q36+V36+AA36+AF36+AK36+AP36+AU36+AZ36))-(IF(AND('Your debts'!$F$6&lt;&gt;"",'Your debts'!$F$14&lt;&gt;"",'Your debts'!$F$6&lt;'Your debts'!$F$14),H36,0)+IF(AND('Your debts'!$F$7&lt;&gt;"",'Your debts'!$F$14&lt;&gt;"",'Your debts'!$F$7&lt;'Your debts'!$F$14),M36,0)+IF(AND('Your debts'!$F$8&lt;&gt;"",'Your debts'!$F$14&lt;&gt;"",'Your debts'!$F$8&lt;'Your debts'!$F$14),R36,0)+IF(AND('Your debts'!$F$9&lt;&gt;"",'Your debts'!$F$14&lt;&gt;"",'Your debts'!$F$9&lt;'Your debts'!$F$14),W36,0)+IF(AND('Your debts'!$F$10&lt;&gt;"",'Your debts'!$F$14&lt;&gt;"",'Your debts'!$F$10&lt;'Your debts'!$F$14),AB36,0)+IF(AND('Your debts'!$F$11&lt;&gt;"",'Your debts'!$F$14&lt;&gt;"",'Your debts'!$F$11&lt;'Your debts'!$F$14),AG36,0)+IF(AND('Your debts'!$F$12&lt;&gt;"",'Your debts'!$F$14&lt;&gt;"",'Your debts'!$F$12&lt;'Your debts'!$F$14),AL36,0)+IF(AND('Your debts'!$F$13&lt;&gt;"",'Your debts'!$F$14&lt;&gt;"",'Your debts'!$F$13&lt;'Your debts'!$F$14),AQ36,0)+IF(AND('Your debts'!$F$15&lt;&gt;"",'Your debts'!$F$14&lt;&gt;"",'Your debts'!$F$15&lt;'Your debts'!$F$14),BA36,0)))))</f>
        <v/>
      </c>
      <c r="AX36" s="33">
        <f>AV36-AW36</f>
        <v/>
      </c>
      <c r="AY36" s="33">
        <f>IF(BC35&lt;=0,0,ROUND(BC35*(1+'Your debts'!$D$15/1200),2))</f>
        <v/>
      </c>
      <c r="AZ36" s="33">
        <f>IF(AY36&lt;=0,0,MIN('Your debts'!$E$15,AY36))</f>
        <v/>
      </c>
      <c r="BA36" s="33">
        <f>AY36-AZ36</f>
        <v/>
      </c>
      <c r="BB36" s="33">
        <f>IF('Your debts'!$F$15="",0,MIN(BA36,MAX(0,MAX(0,'Your debts'!$C$19-(G36+L36+Q36+V36+AA36+AF36+AK36+AP36+AU36+AZ36))-(IF(AND('Your debts'!$F$6&lt;&gt;"",'Your debts'!$F$15&lt;&gt;"",'Your debts'!$F$6&lt;'Your debts'!$F$15),H36,0)+IF(AND('Your debts'!$F$7&lt;&gt;"",'Your debts'!$F$15&lt;&gt;"",'Your debts'!$F$7&lt;'Your debts'!$F$15),M36,0)+IF(AND('Your debts'!$F$8&lt;&gt;"",'Your debts'!$F$15&lt;&gt;"",'Your debts'!$F$8&lt;'Your debts'!$F$15),R36,0)+IF(AND('Your debts'!$F$9&lt;&gt;"",'Your debts'!$F$15&lt;&gt;"",'Your debts'!$F$9&lt;'Your debts'!$F$15),W36,0)+IF(AND('Your debts'!$F$10&lt;&gt;"",'Your debts'!$F$15&lt;&gt;"",'Your debts'!$F$10&lt;'Your debts'!$F$15),AB36,0)+IF(AND('Your debts'!$F$11&lt;&gt;"",'Your debts'!$F$15&lt;&gt;"",'Your debts'!$F$11&lt;'Your debts'!$F$15),AG36,0)+IF(AND('Your debts'!$F$12&lt;&gt;"",'Your debts'!$F$15&lt;&gt;"",'Your debts'!$F$12&lt;'Your debts'!$F$15),AL36,0)+IF(AND('Your debts'!$F$13&lt;&gt;"",'Your debts'!$F$15&lt;&gt;"",'Your debts'!$F$13&lt;'Your debts'!$F$15),AQ36,0)+IF(AND('Your debts'!$F$14&lt;&gt;"",'Your debts'!$F$15&lt;&gt;"",'Your debts'!$F$14&lt;'Your debts'!$F$15),AV36,0)))))</f>
        <v/>
      </c>
      <c r="BC36" s="33">
        <f>BA36-BB36</f>
        <v/>
      </c>
    </row>
    <row r="37">
      <c r="A37" s="30" t="n">
        <v>22</v>
      </c>
      <c r="B37" s="31">
        <f>EDATE($B$15,22)</f>
        <v/>
      </c>
      <c r="C37" s="32">
        <f>IF(J36&lt;=0,0,F37-J36)+IF(O36&lt;=0,0,K37-O36)+IF(T36&lt;=0,0,P37-T36)+IF(Y36&lt;=0,0,U37-Y36)+IF(AD36&lt;=0,0,Z37-AD36)+IF(AI36&lt;=0,0,AE37-AI36)+IF(AN36&lt;=0,0,AJ37-AN36)+IF(AS36&lt;=0,0,AO37-AS36)+IF(AX36&lt;=0,0,AT37-AX36)+IF(BC36&lt;=0,0,AY37-BC36)</f>
        <v/>
      </c>
      <c r="D37" s="32">
        <f>G37+I37+L37+N37+Q37+S37+V37+X37+AA37+AC37+AF37+AH37+AK37+AM37+AP37+AR37+AU37+AW37+AZ37+BB37</f>
        <v/>
      </c>
      <c r="E37" s="32">
        <f>J37+O37+T37+Y37+AD37+AI37+AN37+AS37+AX37+BC37</f>
        <v/>
      </c>
      <c r="F37" s="33">
        <f>IF(J36&lt;=0,0,ROUND(J36*(1+'Your debts'!$D$6/1200),2))</f>
        <v/>
      </c>
      <c r="G37" s="33">
        <f>IF(F37&lt;=0,0,MIN('Your debts'!$E$6,F37))</f>
        <v/>
      </c>
      <c r="H37" s="33">
        <f>F37-G37</f>
        <v/>
      </c>
      <c r="I37" s="33">
        <f>IF('Your debts'!$F$6="",0,MIN(H37,MAX(0,MAX(0,'Your debts'!$C$19-(G37+L37+Q37+V37+AA37+AF37+AK37+AP37+AU37+AZ37))-(IF(AND('Your debts'!$F$7&lt;&gt;"",'Your debts'!$F$6&lt;&gt;"",'Your debts'!$F$7&lt;'Your debts'!$F$6),M37,0)+IF(AND('Your debts'!$F$8&lt;&gt;"",'Your debts'!$F$6&lt;&gt;"",'Your debts'!$F$8&lt;'Your debts'!$F$6),R37,0)+IF(AND('Your debts'!$F$9&lt;&gt;"",'Your debts'!$F$6&lt;&gt;"",'Your debts'!$F$9&lt;'Your debts'!$F$6),W37,0)+IF(AND('Your debts'!$F$10&lt;&gt;"",'Your debts'!$F$6&lt;&gt;"",'Your debts'!$F$10&lt;'Your debts'!$F$6),AB37,0)+IF(AND('Your debts'!$F$11&lt;&gt;"",'Your debts'!$F$6&lt;&gt;"",'Your debts'!$F$11&lt;'Your debts'!$F$6),AG37,0)+IF(AND('Your debts'!$F$12&lt;&gt;"",'Your debts'!$F$6&lt;&gt;"",'Your debts'!$F$12&lt;'Your debts'!$F$6),AL37,0)+IF(AND('Your debts'!$F$13&lt;&gt;"",'Your debts'!$F$6&lt;&gt;"",'Your debts'!$F$13&lt;'Your debts'!$F$6),AQ37,0)+IF(AND('Your debts'!$F$14&lt;&gt;"",'Your debts'!$F$6&lt;&gt;"",'Your debts'!$F$14&lt;'Your debts'!$F$6),AV37,0)+IF(AND('Your debts'!$F$15&lt;&gt;"",'Your debts'!$F$6&lt;&gt;"",'Your debts'!$F$15&lt;'Your debts'!$F$6),BA37,0)))))</f>
        <v/>
      </c>
      <c r="J37" s="33">
        <f>H37-I37</f>
        <v/>
      </c>
      <c r="K37" s="33">
        <f>IF(O36&lt;=0,0,ROUND(O36*(1+'Your debts'!$D$7/1200),2))</f>
        <v/>
      </c>
      <c r="L37" s="33">
        <f>IF(K37&lt;=0,0,MIN('Your debts'!$E$7,K37))</f>
        <v/>
      </c>
      <c r="M37" s="33">
        <f>K37-L37</f>
        <v/>
      </c>
      <c r="N37" s="33">
        <f>IF('Your debts'!$F$7="",0,MIN(M37,MAX(0,MAX(0,'Your debts'!$C$19-(G37+L37+Q37+V37+AA37+AF37+AK37+AP37+AU37+AZ37))-(IF(AND('Your debts'!$F$6&lt;&gt;"",'Your debts'!$F$7&lt;&gt;"",'Your debts'!$F$6&lt;'Your debts'!$F$7),H37,0)+IF(AND('Your debts'!$F$8&lt;&gt;"",'Your debts'!$F$7&lt;&gt;"",'Your debts'!$F$8&lt;'Your debts'!$F$7),R37,0)+IF(AND('Your debts'!$F$9&lt;&gt;"",'Your debts'!$F$7&lt;&gt;"",'Your debts'!$F$9&lt;'Your debts'!$F$7),W37,0)+IF(AND('Your debts'!$F$10&lt;&gt;"",'Your debts'!$F$7&lt;&gt;"",'Your debts'!$F$10&lt;'Your debts'!$F$7),AB37,0)+IF(AND('Your debts'!$F$11&lt;&gt;"",'Your debts'!$F$7&lt;&gt;"",'Your debts'!$F$11&lt;'Your debts'!$F$7),AG37,0)+IF(AND('Your debts'!$F$12&lt;&gt;"",'Your debts'!$F$7&lt;&gt;"",'Your debts'!$F$12&lt;'Your debts'!$F$7),AL37,0)+IF(AND('Your debts'!$F$13&lt;&gt;"",'Your debts'!$F$7&lt;&gt;"",'Your debts'!$F$13&lt;'Your debts'!$F$7),AQ37,0)+IF(AND('Your debts'!$F$14&lt;&gt;"",'Your debts'!$F$7&lt;&gt;"",'Your debts'!$F$14&lt;'Your debts'!$F$7),AV37,0)+IF(AND('Your debts'!$F$15&lt;&gt;"",'Your debts'!$F$7&lt;&gt;"",'Your debts'!$F$15&lt;'Your debts'!$F$7),BA37,0)))))</f>
        <v/>
      </c>
      <c r="O37" s="33">
        <f>M37-N37</f>
        <v/>
      </c>
      <c r="P37" s="33">
        <f>IF(T36&lt;=0,0,ROUND(T36*(1+'Your debts'!$D$8/1200),2))</f>
        <v/>
      </c>
      <c r="Q37" s="33">
        <f>IF(P37&lt;=0,0,MIN('Your debts'!$E$8,P37))</f>
        <v/>
      </c>
      <c r="R37" s="33">
        <f>P37-Q37</f>
        <v/>
      </c>
      <c r="S37" s="33">
        <f>IF('Your debts'!$F$8="",0,MIN(R37,MAX(0,MAX(0,'Your debts'!$C$19-(G37+L37+Q37+V37+AA37+AF37+AK37+AP37+AU37+AZ37))-(IF(AND('Your debts'!$F$6&lt;&gt;"",'Your debts'!$F$8&lt;&gt;"",'Your debts'!$F$6&lt;'Your debts'!$F$8),H37,0)+IF(AND('Your debts'!$F$7&lt;&gt;"",'Your debts'!$F$8&lt;&gt;"",'Your debts'!$F$7&lt;'Your debts'!$F$8),M37,0)+IF(AND('Your debts'!$F$9&lt;&gt;"",'Your debts'!$F$8&lt;&gt;"",'Your debts'!$F$9&lt;'Your debts'!$F$8),W37,0)+IF(AND('Your debts'!$F$10&lt;&gt;"",'Your debts'!$F$8&lt;&gt;"",'Your debts'!$F$10&lt;'Your debts'!$F$8),AB37,0)+IF(AND('Your debts'!$F$11&lt;&gt;"",'Your debts'!$F$8&lt;&gt;"",'Your debts'!$F$11&lt;'Your debts'!$F$8),AG37,0)+IF(AND('Your debts'!$F$12&lt;&gt;"",'Your debts'!$F$8&lt;&gt;"",'Your debts'!$F$12&lt;'Your debts'!$F$8),AL37,0)+IF(AND('Your debts'!$F$13&lt;&gt;"",'Your debts'!$F$8&lt;&gt;"",'Your debts'!$F$13&lt;'Your debts'!$F$8),AQ37,0)+IF(AND('Your debts'!$F$14&lt;&gt;"",'Your debts'!$F$8&lt;&gt;"",'Your debts'!$F$14&lt;'Your debts'!$F$8),AV37,0)+IF(AND('Your debts'!$F$15&lt;&gt;"",'Your debts'!$F$8&lt;&gt;"",'Your debts'!$F$15&lt;'Your debts'!$F$8),BA37,0)))))</f>
        <v/>
      </c>
      <c r="T37" s="33">
        <f>R37-S37</f>
        <v/>
      </c>
      <c r="U37" s="33">
        <f>IF(Y36&lt;=0,0,ROUND(Y36*(1+'Your debts'!$D$9/1200),2))</f>
        <v/>
      </c>
      <c r="V37" s="33">
        <f>IF(U37&lt;=0,0,MIN('Your debts'!$E$9,U37))</f>
        <v/>
      </c>
      <c r="W37" s="33">
        <f>U37-V37</f>
        <v/>
      </c>
      <c r="X37" s="33">
        <f>IF('Your debts'!$F$9="",0,MIN(W37,MAX(0,MAX(0,'Your debts'!$C$19-(G37+L37+Q37+V37+AA37+AF37+AK37+AP37+AU37+AZ37))-(IF(AND('Your debts'!$F$6&lt;&gt;"",'Your debts'!$F$9&lt;&gt;"",'Your debts'!$F$6&lt;'Your debts'!$F$9),H37,0)+IF(AND('Your debts'!$F$7&lt;&gt;"",'Your debts'!$F$9&lt;&gt;"",'Your debts'!$F$7&lt;'Your debts'!$F$9),M37,0)+IF(AND('Your debts'!$F$8&lt;&gt;"",'Your debts'!$F$9&lt;&gt;"",'Your debts'!$F$8&lt;'Your debts'!$F$9),R37,0)+IF(AND('Your debts'!$F$10&lt;&gt;"",'Your debts'!$F$9&lt;&gt;"",'Your debts'!$F$10&lt;'Your debts'!$F$9),AB37,0)+IF(AND('Your debts'!$F$11&lt;&gt;"",'Your debts'!$F$9&lt;&gt;"",'Your debts'!$F$11&lt;'Your debts'!$F$9),AG37,0)+IF(AND('Your debts'!$F$12&lt;&gt;"",'Your debts'!$F$9&lt;&gt;"",'Your debts'!$F$12&lt;'Your debts'!$F$9),AL37,0)+IF(AND('Your debts'!$F$13&lt;&gt;"",'Your debts'!$F$9&lt;&gt;"",'Your debts'!$F$13&lt;'Your debts'!$F$9),AQ37,0)+IF(AND('Your debts'!$F$14&lt;&gt;"",'Your debts'!$F$9&lt;&gt;"",'Your debts'!$F$14&lt;'Your debts'!$F$9),AV37,0)+IF(AND('Your debts'!$F$15&lt;&gt;"",'Your debts'!$F$9&lt;&gt;"",'Your debts'!$F$15&lt;'Your debts'!$F$9),BA37,0)))))</f>
        <v/>
      </c>
      <c r="Y37" s="33">
        <f>W37-X37</f>
        <v/>
      </c>
      <c r="Z37" s="33">
        <f>IF(AD36&lt;=0,0,ROUND(AD36*(1+'Your debts'!$D$10/1200),2))</f>
        <v/>
      </c>
      <c r="AA37" s="33">
        <f>IF(Z37&lt;=0,0,MIN('Your debts'!$E$10,Z37))</f>
        <v/>
      </c>
      <c r="AB37" s="33">
        <f>Z37-AA37</f>
        <v/>
      </c>
      <c r="AC37" s="33">
        <f>IF('Your debts'!$F$10="",0,MIN(AB37,MAX(0,MAX(0,'Your debts'!$C$19-(G37+L37+Q37+V37+AA37+AF37+AK37+AP37+AU37+AZ37))-(IF(AND('Your debts'!$F$6&lt;&gt;"",'Your debts'!$F$10&lt;&gt;"",'Your debts'!$F$6&lt;'Your debts'!$F$10),H37,0)+IF(AND('Your debts'!$F$7&lt;&gt;"",'Your debts'!$F$10&lt;&gt;"",'Your debts'!$F$7&lt;'Your debts'!$F$10),M37,0)+IF(AND('Your debts'!$F$8&lt;&gt;"",'Your debts'!$F$10&lt;&gt;"",'Your debts'!$F$8&lt;'Your debts'!$F$10),R37,0)+IF(AND('Your debts'!$F$9&lt;&gt;"",'Your debts'!$F$10&lt;&gt;"",'Your debts'!$F$9&lt;'Your debts'!$F$10),W37,0)+IF(AND('Your debts'!$F$11&lt;&gt;"",'Your debts'!$F$10&lt;&gt;"",'Your debts'!$F$11&lt;'Your debts'!$F$10),AG37,0)+IF(AND('Your debts'!$F$12&lt;&gt;"",'Your debts'!$F$10&lt;&gt;"",'Your debts'!$F$12&lt;'Your debts'!$F$10),AL37,0)+IF(AND('Your debts'!$F$13&lt;&gt;"",'Your debts'!$F$10&lt;&gt;"",'Your debts'!$F$13&lt;'Your debts'!$F$10),AQ37,0)+IF(AND('Your debts'!$F$14&lt;&gt;"",'Your debts'!$F$10&lt;&gt;"",'Your debts'!$F$14&lt;'Your debts'!$F$10),AV37,0)+IF(AND('Your debts'!$F$15&lt;&gt;"",'Your debts'!$F$10&lt;&gt;"",'Your debts'!$F$15&lt;'Your debts'!$F$10),BA37,0)))))</f>
        <v/>
      </c>
      <c r="AD37" s="33">
        <f>AB37-AC37</f>
        <v/>
      </c>
      <c r="AE37" s="33">
        <f>IF(AI36&lt;=0,0,ROUND(AI36*(1+'Your debts'!$D$11/1200),2))</f>
        <v/>
      </c>
      <c r="AF37" s="33">
        <f>IF(AE37&lt;=0,0,MIN('Your debts'!$E$11,AE37))</f>
        <v/>
      </c>
      <c r="AG37" s="33">
        <f>AE37-AF37</f>
        <v/>
      </c>
      <c r="AH37" s="33">
        <f>IF('Your debts'!$F$11="",0,MIN(AG37,MAX(0,MAX(0,'Your debts'!$C$19-(G37+L37+Q37+V37+AA37+AF37+AK37+AP37+AU37+AZ37))-(IF(AND('Your debts'!$F$6&lt;&gt;"",'Your debts'!$F$11&lt;&gt;"",'Your debts'!$F$6&lt;'Your debts'!$F$11),H37,0)+IF(AND('Your debts'!$F$7&lt;&gt;"",'Your debts'!$F$11&lt;&gt;"",'Your debts'!$F$7&lt;'Your debts'!$F$11),M37,0)+IF(AND('Your debts'!$F$8&lt;&gt;"",'Your debts'!$F$11&lt;&gt;"",'Your debts'!$F$8&lt;'Your debts'!$F$11),R37,0)+IF(AND('Your debts'!$F$9&lt;&gt;"",'Your debts'!$F$11&lt;&gt;"",'Your debts'!$F$9&lt;'Your debts'!$F$11),W37,0)+IF(AND('Your debts'!$F$10&lt;&gt;"",'Your debts'!$F$11&lt;&gt;"",'Your debts'!$F$10&lt;'Your debts'!$F$11),AB37,0)+IF(AND('Your debts'!$F$12&lt;&gt;"",'Your debts'!$F$11&lt;&gt;"",'Your debts'!$F$12&lt;'Your debts'!$F$11),AL37,0)+IF(AND('Your debts'!$F$13&lt;&gt;"",'Your debts'!$F$11&lt;&gt;"",'Your debts'!$F$13&lt;'Your debts'!$F$11),AQ37,0)+IF(AND('Your debts'!$F$14&lt;&gt;"",'Your debts'!$F$11&lt;&gt;"",'Your debts'!$F$14&lt;'Your debts'!$F$11),AV37,0)+IF(AND('Your debts'!$F$15&lt;&gt;"",'Your debts'!$F$11&lt;&gt;"",'Your debts'!$F$15&lt;'Your debts'!$F$11),BA37,0)))))</f>
        <v/>
      </c>
      <c r="AI37" s="33">
        <f>AG37-AH37</f>
        <v/>
      </c>
      <c r="AJ37" s="33">
        <f>IF(AN36&lt;=0,0,ROUND(AN36*(1+'Your debts'!$D$12/1200),2))</f>
        <v/>
      </c>
      <c r="AK37" s="33">
        <f>IF(AJ37&lt;=0,0,MIN('Your debts'!$E$12,AJ37))</f>
        <v/>
      </c>
      <c r="AL37" s="33">
        <f>AJ37-AK37</f>
        <v/>
      </c>
      <c r="AM37" s="33">
        <f>IF('Your debts'!$F$12="",0,MIN(AL37,MAX(0,MAX(0,'Your debts'!$C$19-(G37+L37+Q37+V37+AA37+AF37+AK37+AP37+AU37+AZ37))-(IF(AND('Your debts'!$F$6&lt;&gt;"",'Your debts'!$F$12&lt;&gt;"",'Your debts'!$F$6&lt;'Your debts'!$F$12),H37,0)+IF(AND('Your debts'!$F$7&lt;&gt;"",'Your debts'!$F$12&lt;&gt;"",'Your debts'!$F$7&lt;'Your debts'!$F$12),M37,0)+IF(AND('Your debts'!$F$8&lt;&gt;"",'Your debts'!$F$12&lt;&gt;"",'Your debts'!$F$8&lt;'Your debts'!$F$12),R37,0)+IF(AND('Your debts'!$F$9&lt;&gt;"",'Your debts'!$F$12&lt;&gt;"",'Your debts'!$F$9&lt;'Your debts'!$F$12),W37,0)+IF(AND('Your debts'!$F$10&lt;&gt;"",'Your debts'!$F$12&lt;&gt;"",'Your debts'!$F$10&lt;'Your debts'!$F$12),AB37,0)+IF(AND('Your debts'!$F$11&lt;&gt;"",'Your debts'!$F$12&lt;&gt;"",'Your debts'!$F$11&lt;'Your debts'!$F$12),AG37,0)+IF(AND('Your debts'!$F$13&lt;&gt;"",'Your debts'!$F$12&lt;&gt;"",'Your debts'!$F$13&lt;'Your debts'!$F$12),AQ37,0)+IF(AND('Your debts'!$F$14&lt;&gt;"",'Your debts'!$F$12&lt;&gt;"",'Your debts'!$F$14&lt;'Your debts'!$F$12),AV37,0)+IF(AND('Your debts'!$F$15&lt;&gt;"",'Your debts'!$F$12&lt;&gt;"",'Your debts'!$F$15&lt;'Your debts'!$F$12),BA37,0)))))</f>
        <v/>
      </c>
      <c r="AN37" s="33">
        <f>AL37-AM37</f>
        <v/>
      </c>
      <c r="AO37" s="33">
        <f>IF(AS36&lt;=0,0,ROUND(AS36*(1+'Your debts'!$D$13/1200),2))</f>
        <v/>
      </c>
      <c r="AP37" s="33">
        <f>IF(AO37&lt;=0,0,MIN('Your debts'!$E$13,AO37))</f>
        <v/>
      </c>
      <c r="AQ37" s="33">
        <f>AO37-AP37</f>
        <v/>
      </c>
      <c r="AR37" s="33">
        <f>IF('Your debts'!$F$13="",0,MIN(AQ37,MAX(0,MAX(0,'Your debts'!$C$19-(G37+L37+Q37+V37+AA37+AF37+AK37+AP37+AU37+AZ37))-(IF(AND('Your debts'!$F$6&lt;&gt;"",'Your debts'!$F$13&lt;&gt;"",'Your debts'!$F$6&lt;'Your debts'!$F$13),H37,0)+IF(AND('Your debts'!$F$7&lt;&gt;"",'Your debts'!$F$13&lt;&gt;"",'Your debts'!$F$7&lt;'Your debts'!$F$13),M37,0)+IF(AND('Your debts'!$F$8&lt;&gt;"",'Your debts'!$F$13&lt;&gt;"",'Your debts'!$F$8&lt;'Your debts'!$F$13),R37,0)+IF(AND('Your debts'!$F$9&lt;&gt;"",'Your debts'!$F$13&lt;&gt;"",'Your debts'!$F$9&lt;'Your debts'!$F$13),W37,0)+IF(AND('Your debts'!$F$10&lt;&gt;"",'Your debts'!$F$13&lt;&gt;"",'Your debts'!$F$10&lt;'Your debts'!$F$13),AB37,0)+IF(AND('Your debts'!$F$11&lt;&gt;"",'Your debts'!$F$13&lt;&gt;"",'Your debts'!$F$11&lt;'Your debts'!$F$13),AG37,0)+IF(AND('Your debts'!$F$12&lt;&gt;"",'Your debts'!$F$13&lt;&gt;"",'Your debts'!$F$12&lt;'Your debts'!$F$13),AL37,0)+IF(AND('Your debts'!$F$14&lt;&gt;"",'Your debts'!$F$13&lt;&gt;"",'Your debts'!$F$14&lt;'Your debts'!$F$13),AV37,0)+IF(AND('Your debts'!$F$15&lt;&gt;"",'Your debts'!$F$13&lt;&gt;"",'Your debts'!$F$15&lt;'Your debts'!$F$13),BA37,0)))))</f>
        <v/>
      </c>
      <c r="AS37" s="33">
        <f>AQ37-AR37</f>
        <v/>
      </c>
      <c r="AT37" s="33">
        <f>IF(AX36&lt;=0,0,ROUND(AX36*(1+'Your debts'!$D$14/1200),2))</f>
        <v/>
      </c>
      <c r="AU37" s="33">
        <f>IF(AT37&lt;=0,0,MIN('Your debts'!$E$14,AT37))</f>
        <v/>
      </c>
      <c r="AV37" s="33">
        <f>AT37-AU37</f>
        <v/>
      </c>
      <c r="AW37" s="33">
        <f>IF('Your debts'!$F$14="",0,MIN(AV37,MAX(0,MAX(0,'Your debts'!$C$19-(G37+L37+Q37+V37+AA37+AF37+AK37+AP37+AU37+AZ37))-(IF(AND('Your debts'!$F$6&lt;&gt;"",'Your debts'!$F$14&lt;&gt;"",'Your debts'!$F$6&lt;'Your debts'!$F$14),H37,0)+IF(AND('Your debts'!$F$7&lt;&gt;"",'Your debts'!$F$14&lt;&gt;"",'Your debts'!$F$7&lt;'Your debts'!$F$14),M37,0)+IF(AND('Your debts'!$F$8&lt;&gt;"",'Your debts'!$F$14&lt;&gt;"",'Your debts'!$F$8&lt;'Your debts'!$F$14),R37,0)+IF(AND('Your debts'!$F$9&lt;&gt;"",'Your debts'!$F$14&lt;&gt;"",'Your debts'!$F$9&lt;'Your debts'!$F$14),W37,0)+IF(AND('Your debts'!$F$10&lt;&gt;"",'Your debts'!$F$14&lt;&gt;"",'Your debts'!$F$10&lt;'Your debts'!$F$14),AB37,0)+IF(AND('Your debts'!$F$11&lt;&gt;"",'Your debts'!$F$14&lt;&gt;"",'Your debts'!$F$11&lt;'Your debts'!$F$14),AG37,0)+IF(AND('Your debts'!$F$12&lt;&gt;"",'Your debts'!$F$14&lt;&gt;"",'Your debts'!$F$12&lt;'Your debts'!$F$14),AL37,0)+IF(AND('Your debts'!$F$13&lt;&gt;"",'Your debts'!$F$14&lt;&gt;"",'Your debts'!$F$13&lt;'Your debts'!$F$14),AQ37,0)+IF(AND('Your debts'!$F$15&lt;&gt;"",'Your debts'!$F$14&lt;&gt;"",'Your debts'!$F$15&lt;'Your debts'!$F$14),BA37,0)))))</f>
        <v/>
      </c>
      <c r="AX37" s="33">
        <f>AV37-AW37</f>
        <v/>
      </c>
      <c r="AY37" s="33">
        <f>IF(BC36&lt;=0,0,ROUND(BC36*(1+'Your debts'!$D$15/1200),2))</f>
        <v/>
      </c>
      <c r="AZ37" s="33">
        <f>IF(AY37&lt;=0,0,MIN('Your debts'!$E$15,AY37))</f>
        <v/>
      </c>
      <c r="BA37" s="33">
        <f>AY37-AZ37</f>
        <v/>
      </c>
      <c r="BB37" s="33">
        <f>IF('Your debts'!$F$15="",0,MIN(BA37,MAX(0,MAX(0,'Your debts'!$C$19-(G37+L37+Q37+V37+AA37+AF37+AK37+AP37+AU37+AZ37))-(IF(AND('Your debts'!$F$6&lt;&gt;"",'Your debts'!$F$15&lt;&gt;"",'Your debts'!$F$6&lt;'Your debts'!$F$15),H37,0)+IF(AND('Your debts'!$F$7&lt;&gt;"",'Your debts'!$F$15&lt;&gt;"",'Your debts'!$F$7&lt;'Your debts'!$F$15),M37,0)+IF(AND('Your debts'!$F$8&lt;&gt;"",'Your debts'!$F$15&lt;&gt;"",'Your debts'!$F$8&lt;'Your debts'!$F$15),R37,0)+IF(AND('Your debts'!$F$9&lt;&gt;"",'Your debts'!$F$15&lt;&gt;"",'Your debts'!$F$9&lt;'Your debts'!$F$15),W37,0)+IF(AND('Your debts'!$F$10&lt;&gt;"",'Your debts'!$F$15&lt;&gt;"",'Your debts'!$F$10&lt;'Your debts'!$F$15),AB37,0)+IF(AND('Your debts'!$F$11&lt;&gt;"",'Your debts'!$F$15&lt;&gt;"",'Your debts'!$F$11&lt;'Your debts'!$F$15),AG37,0)+IF(AND('Your debts'!$F$12&lt;&gt;"",'Your debts'!$F$15&lt;&gt;"",'Your debts'!$F$12&lt;'Your debts'!$F$15),AL37,0)+IF(AND('Your debts'!$F$13&lt;&gt;"",'Your debts'!$F$15&lt;&gt;"",'Your debts'!$F$13&lt;'Your debts'!$F$15),AQ37,0)+IF(AND('Your debts'!$F$14&lt;&gt;"",'Your debts'!$F$15&lt;&gt;"",'Your debts'!$F$14&lt;'Your debts'!$F$15),AV37,0)))))</f>
        <v/>
      </c>
      <c r="BC37" s="33">
        <f>BA37-BB37</f>
        <v/>
      </c>
    </row>
    <row r="38">
      <c r="A38" s="30" t="n">
        <v>23</v>
      </c>
      <c r="B38" s="31">
        <f>EDATE($B$15,23)</f>
        <v/>
      </c>
      <c r="C38" s="32">
        <f>IF(J37&lt;=0,0,F38-J37)+IF(O37&lt;=0,0,K38-O37)+IF(T37&lt;=0,0,P38-T37)+IF(Y37&lt;=0,0,U38-Y37)+IF(AD37&lt;=0,0,Z38-AD37)+IF(AI37&lt;=0,0,AE38-AI37)+IF(AN37&lt;=0,0,AJ38-AN37)+IF(AS37&lt;=0,0,AO38-AS37)+IF(AX37&lt;=0,0,AT38-AX37)+IF(BC37&lt;=0,0,AY38-BC37)</f>
        <v/>
      </c>
      <c r="D38" s="32">
        <f>G38+I38+L38+N38+Q38+S38+V38+X38+AA38+AC38+AF38+AH38+AK38+AM38+AP38+AR38+AU38+AW38+AZ38+BB38</f>
        <v/>
      </c>
      <c r="E38" s="32">
        <f>J38+O38+T38+Y38+AD38+AI38+AN38+AS38+AX38+BC38</f>
        <v/>
      </c>
      <c r="F38" s="33">
        <f>IF(J37&lt;=0,0,ROUND(J37*(1+'Your debts'!$D$6/1200),2))</f>
        <v/>
      </c>
      <c r="G38" s="33">
        <f>IF(F38&lt;=0,0,MIN('Your debts'!$E$6,F38))</f>
        <v/>
      </c>
      <c r="H38" s="33">
        <f>F38-G38</f>
        <v/>
      </c>
      <c r="I38" s="33">
        <f>IF('Your debts'!$F$6="",0,MIN(H38,MAX(0,MAX(0,'Your debts'!$C$19-(G38+L38+Q38+V38+AA38+AF38+AK38+AP38+AU38+AZ38))-(IF(AND('Your debts'!$F$7&lt;&gt;"",'Your debts'!$F$6&lt;&gt;"",'Your debts'!$F$7&lt;'Your debts'!$F$6),M38,0)+IF(AND('Your debts'!$F$8&lt;&gt;"",'Your debts'!$F$6&lt;&gt;"",'Your debts'!$F$8&lt;'Your debts'!$F$6),R38,0)+IF(AND('Your debts'!$F$9&lt;&gt;"",'Your debts'!$F$6&lt;&gt;"",'Your debts'!$F$9&lt;'Your debts'!$F$6),W38,0)+IF(AND('Your debts'!$F$10&lt;&gt;"",'Your debts'!$F$6&lt;&gt;"",'Your debts'!$F$10&lt;'Your debts'!$F$6),AB38,0)+IF(AND('Your debts'!$F$11&lt;&gt;"",'Your debts'!$F$6&lt;&gt;"",'Your debts'!$F$11&lt;'Your debts'!$F$6),AG38,0)+IF(AND('Your debts'!$F$12&lt;&gt;"",'Your debts'!$F$6&lt;&gt;"",'Your debts'!$F$12&lt;'Your debts'!$F$6),AL38,0)+IF(AND('Your debts'!$F$13&lt;&gt;"",'Your debts'!$F$6&lt;&gt;"",'Your debts'!$F$13&lt;'Your debts'!$F$6),AQ38,0)+IF(AND('Your debts'!$F$14&lt;&gt;"",'Your debts'!$F$6&lt;&gt;"",'Your debts'!$F$14&lt;'Your debts'!$F$6),AV38,0)+IF(AND('Your debts'!$F$15&lt;&gt;"",'Your debts'!$F$6&lt;&gt;"",'Your debts'!$F$15&lt;'Your debts'!$F$6),BA38,0)))))</f>
        <v/>
      </c>
      <c r="J38" s="33">
        <f>H38-I38</f>
        <v/>
      </c>
      <c r="K38" s="33">
        <f>IF(O37&lt;=0,0,ROUND(O37*(1+'Your debts'!$D$7/1200),2))</f>
        <v/>
      </c>
      <c r="L38" s="33">
        <f>IF(K38&lt;=0,0,MIN('Your debts'!$E$7,K38))</f>
        <v/>
      </c>
      <c r="M38" s="33">
        <f>K38-L38</f>
        <v/>
      </c>
      <c r="N38" s="33">
        <f>IF('Your debts'!$F$7="",0,MIN(M38,MAX(0,MAX(0,'Your debts'!$C$19-(G38+L38+Q38+V38+AA38+AF38+AK38+AP38+AU38+AZ38))-(IF(AND('Your debts'!$F$6&lt;&gt;"",'Your debts'!$F$7&lt;&gt;"",'Your debts'!$F$6&lt;'Your debts'!$F$7),H38,0)+IF(AND('Your debts'!$F$8&lt;&gt;"",'Your debts'!$F$7&lt;&gt;"",'Your debts'!$F$8&lt;'Your debts'!$F$7),R38,0)+IF(AND('Your debts'!$F$9&lt;&gt;"",'Your debts'!$F$7&lt;&gt;"",'Your debts'!$F$9&lt;'Your debts'!$F$7),W38,0)+IF(AND('Your debts'!$F$10&lt;&gt;"",'Your debts'!$F$7&lt;&gt;"",'Your debts'!$F$10&lt;'Your debts'!$F$7),AB38,0)+IF(AND('Your debts'!$F$11&lt;&gt;"",'Your debts'!$F$7&lt;&gt;"",'Your debts'!$F$11&lt;'Your debts'!$F$7),AG38,0)+IF(AND('Your debts'!$F$12&lt;&gt;"",'Your debts'!$F$7&lt;&gt;"",'Your debts'!$F$12&lt;'Your debts'!$F$7),AL38,0)+IF(AND('Your debts'!$F$13&lt;&gt;"",'Your debts'!$F$7&lt;&gt;"",'Your debts'!$F$13&lt;'Your debts'!$F$7),AQ38,0)+IF(AND('Your debts'!$F$14&lt;&gt;"",'Your debts'!$F$7&lt;&gt;"",'Your debts'!$F$14&lt;'Your debts'!$F$7),AV38,0)+IF(AND('Your debts'!$F$15&lt;&gt;"",'Your debts'!$F$7&lt;&gt;"",'Your debts'!$F$15&lt;'Your debts'!$F$7),BA38,0)))))</f>
        <v/>
      </c>
      <c r="O38" s="33">
        <f>M38-N38</f>
        <v/>
      </c>
      <c r="P38" s="33">
        <f>IF(T37&lt;=0,0,ROUND(T37*(1+'Your debts'!$D$8/1200),2))</f>
        <v/>
      </c>
      <c r="Q38" s="33">
        <f>IF(P38&lt;=0,0,MIN('Your debts'!$E$8,P38))</f>
        <v/>
      </c>
      <c r="R38" s="33">
        <f>P38-Q38</f>
        <v/>
      </c>
      <c r="S38" s="33">
        <f>IF('Your debts'!$F$8="",0,MIN(R38,MAX(0,MAX(0,'Your debts'!$C$19-(G38+L38+Q38+V38+AA38+AF38+AK38+AP38+AU38+AZ38))-(IF(AND('Your debts'!$F$6&lt;&gt;"",'Your debts'!$F$8&lt;&gt;"",'Your debts'!$F$6&lt;'Your debts'!$F$8),H38,0)+IF(AND('Your debts'!$F$7&lt;&gt;"",'Your debts'!$F$8&lt;&gt;"",'Your debts'!$F$7&lt;'Your debts'!$F$8),M38,0)+IF(AND('Your debts'!$F$9&lt;&gt;"",'Your debts'!$F$8&lt;&gt;"",'Your debts'!$F$9&lt;'Your debts'!$F$8),W38,0)+IF(AND('Your debts'!$F$10&lt;&gt;"",'Your debts'!$F$8&lt;&gt;"",'Your debts'!$F$10&lt;'Your debts'!$F$8),AB38,0)+IF(AND('Your debts'!$F$11&lt;&gt;"",'Your debts'!$F$8&lt;&gt;"",'Your debts'!$F$11&lt;'Your debts'!$F$8),AG38,0)+IF(AND('Your debts'!$F$12&lt;&gt;"",'Your debts'!$F$8&lt;&gt;"",'Your debts'!$F$12&lt;'Your debts'!$F$8),AL38,0)+IF(AND('Your debts'!$F$13&lt;&gt;"",'Your debts'!$F$8&lt;&gt;"",'Your debts'!$F$13&lt;'Your debts'!$F$8),AQ38,0)+IF(AND('Your debts'!$F$14&lt;&gt;"",'Your debts'!$F$8&lt;&gt;"",'Your debts'!$F$14&lt;'Your debts'!$F$8),AV38,0)+IF(AND('Your debts'!$F$15&lt;&gt;"",'Your debts'!$F$8&lt;&gt;"",'Your debts'!$F$15&lt;'Your debts'!$F$8),BA38,0)))))</f>
        <v/>
      </c>
      <c r="T38" s="33">
        <f>R38-S38</f>
        <v/>
      </c>
      <c r="U38" s="33">
        <f>IF(Y37&lt;=0,0,ROUND(Y37*(1+'Your debts'!$D$9/1200),2))</f>
        <v/>
      </c>
      <c r="V38" s="33">
        <f>IF(U38&lt;=0,0,MIN('Your debts'!$E$9,U38))</f>
        <v/>
      </c>
      <c r="W38" s="33">
        <f>U38-V38</f>
        <v/>
      </c>
      <c r="X38" s="33">
        <f>IF('Your debts'!$F$9="",0,MIN(W38,MAX(0,MAX(0,'Your debts'!$C$19-(G38+L38+Q38+V38+AA38+AF38+AK38+AP38+AU38+AZ38))-(IF(AND('Your debts'!$F$6&lt;&gt;"",'Your debts'!$F$9&lt;&gt;"",'Your debts'!$F$6&lt;'Your debts'!$F$9),H38,0)+IF(AND('Your debts'!$F$7&lt;&gt;"",'Your debts'!$F$9&lt;&gt;"",'Your debts'!$F$7&lt;'Your debts'!$F$9),M38,0)+IF(AND('Your debts'!$F$8&lt;&gt;"",'Your debts'!$F$9&lt;&gt;"",'Your debts'!$F$8&lt;'Your debts'!$F$9),R38,0)+IF(AND('Your debts'!$F$10&lt;&gt;"",'Your debts'!$F$9&lt;&gt;"",'Your debts'!$F$10&lt;'Your debts'!$F$9),AB38,0)+IF(AND('Your debts'!$F$11&lt;&gt;"",'Your debts'!$F$9&lt;&gt;"",'Your debts'!$F$11&lt;'Your debts'!$F$9),AG38,0)+IF(AND('Your debts'!$F$12&lt;&gt;"",'Your debts'!$F$9&lt;&gt;"",'Your debts'!$F$12&lt;'Your debts'!$F$9),AL38,0)+IF(AND('Your debts'!$F$13&lt;&gt;"",'Your debts'!$F$9&lt;&gt;"",'Your debts'!$F$13&lt;'Your debts'!$F$9),AQ38,0)+IF(AND('Your debts'!$F$14&lt;&gt;"",'Your debts'!$F$9&lt;&gt;"",'Your debts'!$F$14&lt;'Your debts'!$F$9),AV38,0)+IF(AND('Your debts'!$F$15&lt;&gt;"",'Your debts'!$F$9&lt;&gt;"",'Your debts'!$F$15&lt;'Your debts'!$F$9),BA38,0)))))</f>
        <v/>
      </c>
      <c r="Y38" s="33">
        <f>W38-X38</f>
        <v/>
      </c>
      <c r="Z38" s="33">
        <f>IF(AD37&lt;=0,0,ROUND(AD37*(1+'Your debts'!$D$10/1200),2))</f>
        <v/>
      </c>
      <c r="AA38" s="33">
        <f>IF(Z38&lt;=0,0,MIN('Your debts'!$E$10,Z38))</f>
        <v/>
      </c>
      <c r="AB38" s="33">
        <f>Z38-AA38</f>
        <v/>
      </c>
      <c r="AC38" s="33">
        <f>IF('Your debts'!$F$10="",0,MIN(AB38,MAX(0,MAX(0,'Your debts'!$C$19-(G38+L38+Q38+V38+AA38+AF38+AK38+AP38+AU38+AZ38))-(IF(AND('Your debts'!$F$6&lt;&gt;"",'Your debts'!$F$10&lt;&gt;"",'Your debts'!$F$6&lt;'Your debts'!$F$10),H38,0)+IF(AND('Your debts'!$F$7&lt;&gt;"",'Your debts'!$F$10&lt;&gt;"",'Your debts'!$F$7&lt;'Your debts'!$F$10),M38,0)+IF(AND('Your debts'!$F$8&lt;&gt;"",'Your debts'!$F$10&lt;&gt;"",'Your debts'!$F$8&lt;'Your debts'!$F$10),R38,0)+IF(AND('Your debts'!$F$9&lt;&gt;"",'Your debts'!$F$10&lt;&gt;"",'Your debts'!$F$9&lt;'Your debts'!$F$10),W38,0)+IF(AND('Your debts'!$F$11&lt;&gt;"",'Your debts'!$F$10&lt;&gt;"",'Your debts'!$F$11&lt;'Your debts'!$F$10),AG38,0)+IF(AND('Your debts'!$F$12&lt;&gt;"",'Your debts'!$F$10&lt;&gt;"",'Your debts'!$F$12&lt;'Your debts'!$F$10),AL38,0)+IF(AND('Your debts'!$F$13&lt;&gt;"",'Your debts'!$F$10&lt;&gt;"",'Your debts'!$F$13&lt;'Your debts'!$F$10),AQ38,0)+IF(AND('Your debts'!$F$14&lt;&gt;"",'Your debts'!$F$10&lt;&gt;"",'Your debts'!$F$14&lt;'Your debts'!$F$10),AV38,0)+IF(AND('Your debts'!$F$15&lt;&gt;"",'Your debts'!$F$10&lt;&gt;"",'Your debts'!$F$15&lt;'Your debts'!$F$10),BA38,0)))))</f>
        <v/>
      </c>
      <c r="AD38" s="33">
        <f>AB38-AC38</f>
        <v/>
      </c>
      <c r="AE38" s="33">
        <f>IF(AI37&lt;=0,0,ROUND(AI37*(1+'Your debts'!$D$11/1200),2))</f>
        <v/>
      </c>
      <c r="AF38" s="33">
        <f>IF(AE38&lt;=0,0,MIN('Your debts'!$E$11,AE38))</f>
        <v/>
      </c>
      <c r="AG38" s="33">
        <f>AE38-AF38</f>
        <v/>
      </c>
      <c r="AH38" s="33">
        <f>IF('Your debts'!$F$11="",0,MIN(AG38,MAX(0,MAX(0,'Your debts'!$C$19-(G38+L38+Q38+V38+AA38+AF38+AK38+AP38+AU38+AZ38))-(IF(AND('Your debts'!$F$6&lt;&gt;"",'Your debts'!$F$11&lt;&gt;"",'Your debts'!$F$6&lt;'Your debts'!$F$11),H38,0)+IF(AND('Your debts'!$F$7&lt;&gt;"",'Your debts'!$F$11&lt;&gt;"",'Your debts'!$F$7&lt;'Your debts'!$F$11),M38,0)+IF(AND('Your debts'!$F$8&lt;&gt;"",'Your debts'!$F$11&lt;&gt;"",'Your debts'!$F$8&lt;'Your debts'!$F$11),R38,0)+IF(AND('Your debts'!$F$9&lt;&gt;"",'Your debts'!$F$11&lt;&gt;"",'Your debts'!$F$9&lt;'Your debts'!$F$11),W38,0)+IF(AND('Your debts'!$F$10&lt;&gt;"",'Your debts'!$F$11&lt;&gt;"",'Your debts'!$F$10&lt;'Your debts'!$F$11),AB38,0)+IF(AND('Your debts'!$F$12&lt;&gt;"",'Your debts'!$F$11&lt;&gt;"",'Your debts'!$F$12&lt;'Your debts'!$F$11),AL38,0)+IF(AND('Your debts'!$F$13&lt;&gt;"",'Your debts'!$F$11&lt;&gt;"",'Your debts'!$F$13&lt;'Your debts'!$F$11),AQ38,0)+IF(AND('Your debts'!$F$14&lt;&gt;"",'Your debts'!$F$11&lt;&gt;"",'Your debts'!$F$14&lt;'Your debts'!$F$11),AV38,0)+IF(AND('Your debts'!$F$15&lt;&gt;"",'Your debts'!$F$11&lt;&gt;"",'Your debts'!$F$15&lt;'Your debts'!$F$11),BA38,0)))))</f>
        <v/>
      </c>
      <c r="AI38" s="33">
        <f>AG38-AH38</f>
        <v/>
      </c>
      <c r="AJ38" s="33">
        <f>IF(AN37&lt;=0,0,ROUND(AN37*(1+'Your debts'!$D$12/1200),2))</f>
        <v/>
      </c>
      <c r="AK38" s="33">
        <f>IF(AJ38&lt;=0,0,MIN('Your debts'!$E$12,AJ38))</f>
        <v/>
      </c>
      <c r="AL38" s="33">
        <f>AJ38-AK38</f>
        <v/>
      </c>
      <c r="AM38" s="33">
        <f>IF('Your debts'!$F$12="",0,MIN(AL38,MAX(0,MAX(0,'Your debts'!$C$19-(G38+L38+Q38+V38+AA38+AF38+AK38+AP38+AU38+AZ38))-(IF(AND('Your debts'!$F$6&lt;&gt;"",'Your debts'!$F$12&lt;&gt;"",'Your debts'!$F$6&lt;'Your debts'!$F$12),H38,0)+IF(AND('Your debts'!$F$7&lt;&gt;"",'Your debts'!$F$12&lt;&gt;"",'Your debts'!$F$7&lt;'Your debts'!$F$12),M38,0)+IF(AND('Your debts'!$F$8&lt;&gt;"",'Your debts'!$F$12&lt;&gt;"",'Your debts'!$F$8&lt;'Your debts'!$F$12),R38,0)+IF(AND('Your debts'!$F$9&lt;&gt;"",'Your debts'!$F$12&lt;&gt;"",'Your debts'!$F$9&lt;'Your debts'!$F$12),W38,0)+IF(AND('Your debts'!$F$10&lt;&gt;"",'Your debts'!$F$12&lt;&gt;"",'Your debts'!$F$10&lt;'Your debts'!$F$12),AB38,0)+IF(AND('Your debts'!$F$11&lt;&gt;"",'Your debts'!$F$12&lt;&gt;"",'Your debts'!$F$11&lt;'Your debts'!$F$12),AG38,0)+IF(AND('Your debts'!$F$13&lt;&gt;"",'Your debts'!$F$12&lt;&gt;"",'Your debts'!$F$13&lt;'Your debts'!$F$12),AQ38,0)+IF(AND('Your debts'!$F$14&lt;&gt;"",'Your debts'!$F$12&lt;&gt;"",'Your debts'!$F$14&lt;'Your debts'!$F$12),AV38,0)+IF(AND('Your debts'!$F$15&lt;&gt;"",'Your debts'!$F$12&lt;&gt;"",'Your debts'!$F$15&lt;'Your debts'!$F$12),BA38,0)))))</f>
        <v/>
      </c>
      <c r="AN38" s="33">
        <f>AL38-AM38</f>
        <v/>
      </c>
      <c r="AO38" s="33">
        <f>IF(AS37&lt;=0,0,ROUND(AS37*(1+'Your debts'!$D$13/1200),2))</f>
        <v/>
      </c>
      <c r="AP38" s="33">
        <f>IF(AO38&lt;=0,0,MIN('Your debts'!$E$13,AO38))</f>
        <v/>
      </c>
      <c r="AQ38" s="33">
        <f>AO38-AP38</f>
        <v/>
      </c>
      <c r="AR38" s="33">
        <f>IF('Your debts'!$F$13="",0,MIN(AQ38,MAX(0,MAX(0,'Your debts'!$C$19-(G38+L38+Q38+V38+AA38+AF38+AK38+AP38+AU38+AZ38))-(IF(AND('Your debts'!$F$6&lt;&gt;"",'Your debts'!$F$13&lt;&gt;"",'Your debts'!$F$6&lt;'Your debts'!$F$13),H38,0)+IF(AND('Your debts'!$F$7&lt;&gt;"",'Your debts'!$F$13&lt;&gt;"",'Your debts'!$F$7&lt;'Your debts'!$F$13),M38,0)+IF(AND('Your debts'!$F$8&lt;&gt;"",'Your debts'!$F$13&lt;&gt;"",'Your debts'!$F$8&lt;'Your debts'!$F$13),R38,0)+IF(AND('Your debts'!$F$9&lt;&gt;"",'Your debts'!$F$13&lt;&gt;"",'Your debts'!$F$9&lt;'Your debts'!$F$13),W38,0)+IF(AND('Your debts'!$F$10&lt;&gt;"",'Your debts'!$F$13&lt;&gt;"",'Your debts'!$F$10&lt;'Your debts'!$F$13),AB38,0)+IF(AND('Your debts'!$F$11&lt;&gt;"",'Your debts'!$F$13&lt;&gt;"",'Your debts'!$F$11&lt;'Your debts'!$F$13),AG38,0)+IF(AND('Your debts'!$F$12&lt;&gt;"",'Your debts'!$F$13&lt;&gt;"",'Your debts'!$F$12&lt;'Your debts'!$F$13),AL38,0)+IF(AND('Your debts'!$F$14&lt;&gt;"",'Your debts'!$F$13&lt;&gt;"",'Your debts'!$F$14&lt;'Your debts'!$F$13),AV38,0)+IF(AND('Your debts'!$F$15&lt;&gt;"",'Your debts'!$F$13&lt;&gt;"",'Your debts'!$F$15&lt;'Your debts'!$F$13),BA38,0)))))</f>
        <v/>
      </c>
      <c r="AS38" s="33">
        <f>AQ38-AR38</f>
        <v/>
      </c>
      <c r="AT38" s="33">
        <f>IF(AX37&lt;=0,0,ROUND(AX37*(1+'Your debts'!$D$14/1200),2))</f>
        <v/>
      </c>
      <c r="AU38" s="33">
        <f>IF(AT38&lt;=0,0,MIN('Your debts'!$E$14,AT38))</f>
        <v/>
      </c>
      <c r="AV38" s="33">
        <f>AT38-AU38</f>
        <v/>
      </c>
      <c r="AW38" s="33">
        <f>IF('Your debts'!$F$14="",0,MIN(AV38,MAX(0,MAX(0,'Your debts'!$C$19-(G38+L38+Q38+V38+AA38+AF38+AK38+AP38+AU38+AZ38))-(IF(AND('Your debts'!$F$6&lt;&gt;"",'Your debts'!$F$14&lt;&gt;"",'Your debts'!$F$6&lt;'Your debts'!$F$14),H38,0)+IF(AND('Your debts'!$F$7&lt;&gt;"",'Your debts'!$F$14&lt;&gt;"",'Your debts'!$F$7&lt;'Your debts'!$F$14),M38,0)+IF(AND('Your debts'!$F$8&lt;&gt;"",'Your debts'!$F$14&lt;&gt;"",'Your debts'!$F$8&lt;'Your debts'!$F$14),R38,0)+IF(AND('Your debts'!$F$9&lt;&gt;"",'Your debts'!$F$14&lt;&gt;"",'Your debts'!$F$9&lt;'Your debts'!$F$14),W38,0)+IF(AND('Your debts'!$F$10&lt;&gt;"",'Your debts'!$F$14&lt;&gt;"",'Your debts'!$F$10&lt;'Your debts'!$F$14),AB38,0)+IF(AND('Your debts'!$F$11&lt;&gt;"",'Your debts'!$F$14&lt;&gt;"",'Your debts'!$F$11&lt;'Your debts'!$F$14),AG38,0)+IF(AND('Your debts'!$F$12&lt;&gt;"",'Your debts'!$F$14&lt;&gt;"",'Your debts'!$F$12&lt;'Your debts'!$F$14),AL38,0)+IF(AND('Your debts'!$F$13&lt;&gt;"",'Your debts'!$F$14&lt;&gt;"",'Your debts'!$F$13&lt;'Your debts'!$F$14),AQ38,0)+IF(AND('Your debts'!$F$15&lt;&gt;"",'Your debts'!$F$14&lt;&gt;"",'Your debts'!$F$15&lt;'Your debts'!$F$14),BA38,0)))))</f>
        <v/>
      </c>
      <c r="AX38" s="33">
        <f>AV38-AW38</f>
        <v/>
      </c>
      <c r="AY38" s="33">
        <f>IF(BC37&lt;=0,0,ROUND(BC37*(1+'Your debts'!$D$15/1200),2))</f>
        <v/>
      </c>
      <c r="AZ38" s="33">
        <f>IF(AY38&lt;=0,0,MIN('Your debts'!$E$15,AY38))</f>
        <v/>
      </c>
      <c r="BA38" s="33">
        <f>AY38-AZ38</f>
        <v/>
      </c>
      <c r="BB38" s="33">
        <f>IF('Your debts'!$F$15="",0,MIN(BA38,MAX(0,MAX(0,'Your debts'!$C$19-(G38+L38+Q38+V38+AA38+AF38+AK38+AP38+AU38+AZ38))-(IF(AND('Your debts'!$F$6&lt;&gt;"",'Your debts'!$F$15&lt;&gt;"",'Your debts'!$F$6&lt;'Your debts'!$F$15),H38,0)+IF(AND('Your debts'!$F$7&lt;&gt;"",'Your debts'!$F$15&lt;&gt;"",'Your debts'!$F$7&lt;'Your debts'!$F$15),M38,0)+IF(AND('Your debts'!$F$8&lt;&gt;"",'Your debts'!$F$15&lt;&gt;"",'Your debts'!$F$8&lt;'Your debts'!$F$15),R38,0)+IF(AND('Your debts'!$F$9&lt;&gt;"",'Your debts'!$F$15&lt;&gt;"",'Your debts'!$F$9&lt;'Your debts'!$F$15),W38,0)+IF(AND('Your debts'!$F$10&lt;&gt;"",'Your debts'!$F$15&lt;&gt;"",'Your debts'!$F$10&lt;'Your debts'!$F$15),AB38,0)+IF(AND('Your debts'!$F$11&lt;&gt;"",'Your debts'!$F$15&lt;&gt;"",'Your debts'!$F$11&lt;'Your debts'!$F$15),AG38,0)+IF(AND('Your debts'!$F$12&lt;&gt;"",'Your debts'!$F$15&lt;&gt;"",'Your debts'!$F$12&lt;'Your debts'!$F$15),AL38,0)+IF(AND('Your debts'!$F$13&lt;&gt;"",'Your debts'!$F$15&lt;&gt;"",'Your debts'!$F$13&lt;'Your debts'!$F$15),AQ38,0)+IF(AND('Your debts'!$F$14&lt;&gt;"",'Your debts'!$F$15&lt;&gt;"",'Your debts'!$F$14&lt;'Your debts'!$F$15),AV38,0)))))</f>
        <v/>
      </c>
      <c r="BC38" s="33">
        <f>BA38-BB38</f>
        <v/>
      </c>
    </row>
    <row r="39">
      <c r="A39" s="30" t="n">
        <v>24</v>
      </c>
      <c r="B39" s="31">
        <f>EDATE($B$15,24)</f>
        <v/>
      </c>
      <c r="C39" s="32">
        <f>IF(J38&lt;=0,0,F39-J38)+IF(O38&lt;=0,0,K39-O38)+IF(T38&lt;=0,0,P39-T38)+IF(Y38&lt;=0,0,U39-Y38)+IF(AD38&lt;=0,0,Z39-AD38)+IF(AI38&lt;=0,0,AE39-AI38)+IF(AN38&lt;=0,0,AJ39-AN38)+IF(AS38&lt;=0,0,AO39-AS38)+IF(AX38&lt;=0,0,AT39-AX38)+IF(BC38&lt;=0,0,AY39-BC38)</f>
        <v/>
      </c>
      <c r="D39" s="32">
        <f>G39+I39+L39+N39+Q39+S39+V39+X39+AA39+AC39+AF39+AH39+AK39+AM39+AP39+AR39+AU39+AW39+AZ39+BB39</f>
        <v/>
      </c>
      <c r="E39" s="32">
        <f>J39+O39+T39+Y39+AD39+AI39+AN39+AS39+AX39+BC39</f>
        <v/>
      </c>
      <c r="F39" s="33">
        <f>IF(J38&lt;=0,0,ROUND(J38*(1+'Your debts'!$D$6/1200),2))</f>
        <v/>
      </c>
      <c r="G39" s="33">
        <f>IF(F39&lt;=0,0,MIN('Your debts'!$E$6,F39))</f>
        <v/>
      </c>
      <c r="H39" s="33">
        <f>F39-G39</f>
        <v/>
      </c>
      <c r="I39" s="33">
        <f>IF('Your debts'!$F$6="",0,MIN(H39,MAX(0,MAX(0,'Your debts'!$C$19-(G39+L39+Q39+V39+AA39+AF39+AK39+AP39+AU39+AZ39))-(IF(AND('Your debts'!$F$7&lt;&gt;"",'Your debts'!$F$6&lt;&gt;"",'Your debts'!$F$7&lt;'Your debts'!$F$6),M39,0)+IF(AND('Your debts'!$F$8&lt;&gt;"",'Your debts'!$F$6&lt;&gt;"",'Your debts'!$F$8&lt;'Your debts'!$F$6),R39,0)+IF(AND('Your debts'!$F$9&lt;&gt;"",'Your debts'!$F$6&lt;&gt;"",'Your debts'!$F$9&lt;'Your debts'!$F$6),W39,0)+IF(AND('Your debts'!$F$10&lt;&gt;"",'Your debts'!$F$6&lt;&gt;"",'Your debts'!$F$10&lt;'Your debts'!$F$6),AB39,0)+IF(AND('Your debts'!$F$11&lt;&gt;"",'Your debts'!$F$6&lt;&gt;"",'Your debts'!$F$11&lt;'Your debts'!$F$6),AG39,0)+IF(AND('Your debts'!$F$12&lt;&gt;"",'Your debts'!$F$6&lt;&gt;"",'Your debts'!$F$12&lt;'Your debts'!$F$6),AL39,0)+IF(AND('Your debts'!$F$13&lt;&gt;"",'Your debts'!$F$6&lt;&gt;"",'Your debts'!$F$13&lt;'Your debts'!$F$6),AQ39,0)+IF(AND('Your debts'!$F$14&lt;&gt;"",'Your debts'!$F$6&lt;&gt;"",'Your debts'!$F$14&lt;'Your debts'!$F$6),AV39,0)+IF(AND('Your debts'!$F$15&lt;&gt;"",'Your debts'!$F$6&lt;&gt;"",'Your debts'!$F$15&lt;'Your debts'!$F$6),BA39,0)))))</f>
        <v/>
      </c>
      <c r="J39" s="33">
        <f>H39-I39</f>
        <v/>
      </c>
      <c r="K39" s="33">
        <f>IF(O38&lt;=0,0,ROUND(O38*(1+'Your debts'!$D$7/1200),2))</f>
        <v/>
      </c>
      <c r="L39" s="33">
        <f>IF(K39&lt;=0,0,MIN('Your debts'!$E$7,K39))</f>
        <v/>
      </c>
      <c r="M39" s="33">
        <f>K39-L39</f>
        <v/>
      </c>
      <c r="N39" s="33">
        <f>IF('Your debts'!$F$7="",0,MIN(M39,MAX(0,MAX(0,'Your debts'!$C$19-(G39+L39+Q39+V39+AA39+AF39+AK39+AP39+AU39+AZ39))-(IF(AND('Your debts'!$F$6&lt;&gt;"",'Your debts'!$F$7&lt;&gt;"",'Your debts'!$F$6&lt;'Your debts'!$F$7),H39,0)+IF(AND('Your debts'!$F$8&lt;&gt;"",'Your debts'!$F$7&lt;&gt;"",'Your debts'!$F$8&lt;'Your debts'!$F$7),R39,0)+IF(AND('Your debts'!$F$9&lt;&gt;"",'Your debts'!$F$7&lt;&gt;"",'Your debts'!$F$9&lt;'Your debts'!$F$7),W39,0)+IF(AND('Your debts'!$F$10&lt;&gt;"",'Your debts'!$F$7&lt;&gt;"",'Your debts'!$F$10&lt;'Your debts'!$F$7),AB39,0)+IF(AND('Your debts'!$F$11&lt;&gt;"",'Your debts'!$F$7&lt;&gt;"",'Your debts'!$F$11&lt;'Your debts'!$F$7),AG39,0)+IF(AND('Your debts'!$F$12&lt;&gt;"",'Your debts'!$F$7&lt;&gt;"",'Your debts'!$F$12&lt;'Your debts'!$F$7),AL39,0)+IF(AND('Your debts'!$F$13&lt;&gt;"",'Your debts'!$F$7&lt;&gt;"",'Your debts'!$F$13&lt;'Your debts'!$F$7),AQ39,0)+IF(AND('Your debts'!$F$14&lt;&gt;"",'Your debts'!$F$7&lt;&gt;"",'Your debts'!$F$14&lt;'Your debts'!$F$7),AV39,0)+IF(AND('Your debts'!$F$15&lt;&gt;"",'Your debts'!$F$7&lt;&gt;"",'Your debts'!$F$15&lt;'Your debts'!$F$7),BA39,0)))))</f>
        <v/>
      </c>
      <c r="O39" s="33">
        <f>M39-N39</f>
        <v/>
      </c>
      <c r="P39" s="33">
        <f>IF(T38&lt;=0,0,ROUND(T38*(1+'Your debts'!$D$8/1200),2))</f>
        <v/>
      </c>
      <c r="Q39" s="33">
        <f>IF(P39&lt;=0,0,MIN('Your debts'!$E$8,P39))</f>
        <v/>
      </c>
      <c r="R39" s="33">
        <f>P39-Q39</f>
        <v/>
      </c>
      <c r="S39" s="33">
        <f>IF('Your debts'!$F$8="",0,MIN(R39,MAX(0,MAX(0,'Your debts'!$C$19-(G39+L39+Q39+V39+AA39+AF39+AK39+AP39+AU39+AZ39))-(IF(AND('Your debts'!$F$6&lt;&gt;"",'Your debts'!$F$8&lt;&gt;"",'Your debts'!$F$6&lt;'Your debts'!$F$8),H39,0)+IF(AND('Your debts'!$F$7&lt;&gt;"",'Your debts'!$F$8&lt;&gt;"",'Your debts'!$F$7&lt;'Your debts'!$F$8),M39,0)+IF(AND('Your debts'!$F$9&lt;&gt;"",'Your debts'!$F$8&lt;&gt;"",'Your debts'!$F$9&lt;'Your debts'!$F$8),W39,0)+IF(AND('Your debts'!$F$10&lt;&gt;"",'Your debts'!$F$8&lt;&gt;"",'Your debts'!$F$10&lt;'Your debts'!$F$8),AB39,0)+IF(AND('Your debts'!$F$11&lt;&gt;"",'Your debts'!$F$8&lt;&gt;"",'Your debts'!$F$11&lt;'Your debts'!$F$8),AG39,0)+IF(AND('Your debts'!$F$12&lt;&gt;"",'Your debts'!$F$8&lt;&gt;"",'Your debts'!$F$12&lt;'Your debts'!$F$8),AL39,0)+IF(AND('Your debts'!$F$13&lt;&gt;"",'Your debts'!$F$8&lt;&gt;"",'Your debts'!$F$13&lt;'Your debts'!$F$8),AQ39,0)+IF(AND('Your debts'!$F$14&lt;&gt;"",'Your debts'!$F$8&lt;&gt;"",'Your debts'!$F$14&lt;'Your debts'!$F$8),AV39,0)+IF(AND('Your debts'!$F$15&lt;&gt;"",'Your debts'!$F$8&lt;&gt;"",'Your debts'!$F$15&lt;'Your debts'!$F$8),BA39,0)))))</f>
        <v/>
      </c>
      <c r="T39" s="33">
        <f>R39-S39</f>
        <v/>
      </c>
      <c r="U39" s="33">
        <f>IF(Y38&lt;=0,0,ROUND(Y38*(1+'Your debts'!$D$9/1200),2))</f>
        <v/>
      </c>
      <c r="V39" s="33">
        <f>IF(U39&lt;=0,0,MIN('Your debts'!$E$9,U39))</f>
        <v/>
      </c>
      <c r="W39" s="33">
        <f>U39-V39</f>
        <v/>
      </c>
      <c r="X39" s="33">
        <f>IF('Your debts'!$F$9="",0,MIN(W39,MAX(0,MAX(0,'Your debts'!$C$19-(G39+L39+Q39+V39+AA39+AF39+AK39+AP39+AU39+AZ39))-(IF(AND('Your debts'!$F$6&lt;&gt;"",'Your debts'!$F$9&lt;&gt;"",'Your debts'!$F$6&lt;'Your debts'!$F$9),H39,0)+IF(AND('Your debts'!$F$7&lt;&gt;"",'Your debts'!$F$9&lt;&gt;"",'Your debts'!$F$7&lt;'Your debts'!$F$9),M39,0)+IF(AND('Your debts'!$F$8&lt;&gt;"",'Your debts'!$F$9&lt;&gt;"",'Your debts'!$F$8&lt;'Your debts'!$F$9),R39,0)+IF(AND('Your debts'!$F$10&lt;&gt;"",'Your debts'!$F$9&lt;&gt;"",'Your debts'!$F$10&lt;'Your debts'!$F$9),AB39,0)+IF(AND('Your debts'!$F$11&lt;&gt;"",'Your debts'!$F$9&lt;&gt;"",'Your debts'!$F$11&lt;'Your debts'!$F$9),AG39,0)+IF(AND('Your debts'!$F$12&lt;&gt;"",'Your debts'!$F$9&lt;&gt;"",'Your debts'!$F$12&lt;'Your debts'!$F$9),AL39,0)+IF(AND('Your debts'!$F$13&lt;&gt;"",'Your debts'!$F$9&lt;&gt;"",'Your debts'!$F$13&lt;'Your debts'!$F$9),AQ39,0)+IF(AND('Your debts'!$F$14&lt;&gt;"",'Your debts'!$F$9&lt;&gt;"",'Your debts'!$F$14&lt;'Your debts'!$F$9),AV39,0)+IF(AND('Your debts'!$F$15&lt;&gt;"",'Your debts'!$F$9&lt;&gt;"",'Your debts'!$F$15&lt;'Your debts'!$F$9),BA39,0)))))</f>
        <v/>
      </c>
      <c r="Y39" s="33">
        <f>W39-X39</f>
        <v/>
      </c>
      <c r="Z39" s="33">
        <f>IF(AD38&lt;=0,0,ROUND(AD38*(1+'Your debts'!$D$10/1200),2))</f>
        <v/>
      </c>
      <c r="AA39" s="33">
        <f>IF(Z39&lt;=0,0,MIN('Your debts'!$E$10,Z39))</f>
        <v/>
      </c>
      <c r="AB39" s="33">
        <f>Z39-AA39</f>
        <v/>
      </c>
      <c r="AC39" s="33">
        <f>IF('Your debts'!$F$10="",0,MIN(AB39,MAX(0,MAX(0,'Your debts'!$C$19-(G39+L39+Q39+V39+AA39+AF39+AK39+AP39+AU39+AZ39))-(IF(AND('Your debts'!$F$6&lt;&gt;"",'Your debts'!$F$10&lt;&gt;"",'Your debts'!$F$6&lt;'Your debts'!$F$10),H39,0)+IF(AND('Your debts'!$F$7&lt;&gt;"",'Your debts'!$F$10&lt;&gt;"",'Your debts'!$F$7&lt;'Your debts'!$F$10),M39,0)+IF(AND('Your debts'!$F$8&lt;&gt;"",'Your debts'!$F$10&lt;&gt;"",'Your debts'!$F$8&lt;'Your debts'!$F$10),R39,0)+IF(AND('Your debts'!$F$9&lt;&gt;"",'Your debts'!$F$10&lt;&gt;"",'Your debts'!$F$9&lt;'Your debts'!$F$10),W39,0)+IF(AND('Your debts'!$F$11&lt;&gt;"",'Your debts'!$F$10&lt;&gt;"",'Your debts'!$F$11&lt;'Your debts'!$F$10),AG39,0)+IF(AND('Your debts'!$F$12&lt;&gt;"",'Your debts'!$F$10&lt;&gt;"",'Your debts'!$F$12&lt;'Your debts'!$F$10),AL39,0)+IF(AND('Your debts'!$F$13&lt;&gt;"",'Your debts'!$F$10&lt;&gt;"",'Your debts'!$F$13&lt;'Your debts'!$F$10),AQ39,0)+IF(AND('Your debts'!$F$14&lt;&gt;"",'Your debts'!$F$10&lt;&gt;"",'Your debts'!$F$14&lt;'Your debts'!$F$10),AV39,0)+IF(AND('Your debts'!$F$15&lt;&gt;"",'Your debts'!$F$10&lt;&gt;"",'Your debts'!$F$15&lt;'Your debts'!$F$10),BA39,0)))))</f>
        <v/>
      </c>
      <c r="AD39" s="33">
        <f>AB39-AC39</f>
        <v/>
      </c>
      <c r="AE39" s="33">
        <f>IF(AI38&lt;=0,0,ROUND(AI38*(1+'Your debts'!$D$11/1200),2))</f>
        <v/>
      </c>
      <c r="AF39" s="33">
        <f>IF(AE39&lt;=0,0,MIN('Your debts'!$E$11,AE39))</f>
        <v/>
      </c>
      <c r="AG39" s="33">
        <f>AE39-AF39</f>
        <v/>
      </c>
      <c r="AH39" s="33">
        <f>IF('Your debts'!$F$11="",0,MIN(AG39,MAX(0,MAX(0,'Your debts'!$C$19-(G39+L39+Q39+V39+AA39+AF39+AK39+AP39+AU39+AZ39))-(IF(AND('Your debts'!$F$6&lt;&gt;"",'Your debts'!$F$11&lt;&gt;"",'Your debts'!$F$6&lt;'Your debts'!$F$11),H39,0)+IF(AND('Your debts'!$F$7&lt;&gt;"",'Your debts'!$F$11&lt;&gt;"",'Your debts'!$F$7&lt;'Your debts'!$F$11),M39,0)+IF(AND('Your debts'!$F$8&lt;&gt;"",'Your debts'!$F$11&lt;&gt;"",'Your debts'!$F$8&lt;'Your debts'!$F$11),R39,0)+IF(AND('Your debts'!$F$9&lt;&gt;"",'Your debts'!$F$11&lt;&gt;"",'Your debts'!$F$9&lt;'Your debts'!$F$11),W39,0)+IF(AND('Your debts'!$F$10&lt;&gt;"",'Your debts'!$F$11&lt;&gt;"",'Your debts'!$F$10&lt;'Your debts'!$F$11),AB39,0)+IF(AND('Your debts'!$F$12&lt;&gt;"",'Your debts'!$F$11&lt;&gt;"",'Your debts'!$F$12&lt;'Your debts'!$F$11),AL39,0)+IF(AND('Your debts'!$F$13&lt;&gt;"",'Your debts'!$F$11&lt;&gt;"",'Your debts'!$F$13&lt;'Your debts'!$F$11),AQ39,0)+IF(AND('Your debts'!$F$14&lt;&gt;"",'Your debts'!$F$11&lt;&gt;"",'Your debts'!$F$14&lt;'Your debts'!$F$11),AV39,0)+IF(AND('Your debts'!$F$15&lt;&gt;"",'Your debts'!$F$11&lt;&gt;"",'Your debts'!$F$15&lt;'Your debts'!$F$11),BA39,0)))))</f>
        <v/>
      </c>
      <c r="AI39" s="33">
        <f>AG39-AH39</f>
        <v/>
      </c>
      <c r="AJ39" s="33">
        <f>IF(AN38&lt;=0,0,ROUND(AN38*(1+'Your debts'!$D$12/1200),2))</f>
        <v/>
      </c>
      <c r="AK39" s="33">
        <f>IF(AJ39&lt;=0,0,MIN('Your debts'!$E$12,AJ39))</f>
        <v/>
      </c>
      <c r="AL39" s="33">
        <f>AJ39-AK39</f>
        <v/>
      </c>
      <c r="AM39" s="33">
        <f>IF('Your debts'!$F$12="",0,MIN(AL39,MAX(0,MAX(0,'Your debts'!$C$19-(G39+L39+Q39+V39+AA39+AF39+AK39+AP39+AU39+AZ39))-(IF(AND('Your debts'!$F$6&lt;&gt;"",'Your debts'!$F$12&lt;&gt;"",'Your debts'!$F$6&lt;'Your debts'!$F$12),H39,0)+IF(AND('Your debts'!$F$7&lt;&gt;"",'Your debts'!$F$12&lt;&gt;"",'Your debts'!$F$7&lt;'Your debts'!$F$12),M39,0)+IF(AND('Your debts'!$F$8&lt;&gt;"",'Your debts'!$F$12&lt;&gt;"",'Your debts'!$F$8&lt;'Your debts'!$F$12),R39,0)+IF(AND('Your debts'!$F$9&lt;&gt;"",'Your debts'!$F$12&lt;&gt;"",'Your debts'!$F$9&lt;'Your debts'!$F$12),W39,0)+IF(AND('Your debts'!$F$10&lt;&gt;"",'Your debts'!$F$12&lt;&gt;"",'Your debts'!$F$10&lt;'Your debts'!$F$12),AB39,0)+IF(AND('Your debts'!$F$11&lt;&gt;"",'Your debts'!$F$12&lt;&gt;"",'Your debts'!$F$11&lt;'Your debts'!$F$12),AG39,0)+IF(AND('Your debts'!$F$13&lt;&gt;"",'Your debts'!$F$12&lt;&gt;"",'Your debts'!$F$13&lt;'Your debts'!$F$12),AQ39,0)+IF(AND('Your debts'!$F$14&lt;&gt;"",'Your debts'!$F$12&lt;&gt;"",'Your debts'!$F$14&lt;'Your debts'!$F$12),AV39,0)+IF(AND('Your debts'!$F$15&lt;&gt;"",'Your debts'!$F$12&lt;&gt;"",'Your debts'!$F$15&lt;'Your debts'!$F$12),BA39,0)))))</f>
        <v/>
      </c>
      <c r="AN39" s="33">
        <f>AL39-AM39</f>
        <v/>
      </c>
      <c r="AO39" s="33">
        <f>IF(AS38&lt;=0,0,ROUND(AS38*(1+'Your debts'!$D$13/1200),2))</f>
        <v/>
      </c>
      <c r="AP39" s="33">
        <f>IF(AO39&lt;=0,0,MIN('Your debts'!$E$13,AO39))</f>
        <v/>
      </c>
      <c r="AQ39" s="33">
        <f>AO39-AP39</f>
        <v/>
      </c>
      <c r="AR39" s="33">
        <f>IF('Your debts'!$F$13="",0,MIN(AQ39,MAX(0,MAX(0,'Your debts'!$C$19-(G39+L39+Q39+V39+AA39+AF39+AK39+AP39+AU39+AZ39))-(IF(AND('Your debts'!$F$6&lt;&gt;"",'Your debts'!$F$13&lt;&gt;"",'Your debts'!$F$6&lt;'Your debts'!$F$13),H39,0)+IF(AND('Your debts'!$F$7&lt;&gt;"",'Your debts'!$F$13&lt;&gt;"",'Your debts'!$F$7&lt;'Your debts'!$F$13),M39,0)+IF(AND('Your debts'!$F$8&lt;&gt;"",'Your debts'!$F$13&lt;&gt;"",'Your debts'!$F$8&lt;'Your debts'!$F$13),R39,0)+IF(AND('Your debts'!$F$9&lt;&gt;"",'Your debts'!$F$13&lt;&gt;"",'Your debts'!$F$9&lt;'Your debts'!$F$13),W39,0)+IF(AND('Your debts'!$F$10&lt;&gt;"",'Your debts'!$F$13&lt;&gt;"",'Your debts'!$F$10&lt;'Your debts'!$F$13),AB39,0)+IF(AND('Your debts'!$F$11&lt;&gt;"",'Your debts'!$F$13&lt;&gt;"",'Your debts'!$F$11&lt;'Your debts'!$F$13),AG39,0)+IF(AND('Your debts'!$F$12&lt;&gt;"",'Your debts'!$F$13&lt;&gt;"",'Your debts'!$F$12&lt;'Your debts'!$F$13),AL39,0)+IF(AND('Your debts'!$F$14&lt;&gt;"",'Your debts'!$F$13&lt;&gt;"",'Your debts'!$F$14&lt;'Your debts'!$F$13),AV39,0)+IF(AND('Your debts'!$F$15&lt;&gt;"",'Your debts'!$F$13&lt;&gt;"",'Your debts'!$F$15&lt;'Your debts'!$F$13),BA39,0)))))</f>
        <v/>
      </c>
      <c r="AS39" s="33">
        <f>AQ39-AR39</f>
        <v/>
      </c>
      <c r="AT39" s="33">
        <f>IF(AX38&lt;=0,0,ROUND(AX38*(1+'Your debts'!$D$14/1200),2))</f>
        <v/>
      </c>
      <c r="AU39" s="33">
        <f>IF(AT39&lt;=0,0,MIN('Your debts'!$E$14,AT39))</f>
        <v/>
      </c>
      <c r="AV39" s="33">
        <f>AT39-AU39</f>
        <v/>
      </c>
      <c r="AW39" s="33">
        <f>IF('Your debts'!$F$14="",0,MIN(AV39,MAX(0,MAX(0,'Your debts'!$C$19-(G39+L39+Q39+V39+AA39+AF39+AK39+AP39+AU39+AZ39))-(IF(AND('Your debts'!$F$6&lt;&gt;"",'Your debts'!$F$14&lt;&gt;"",'Your debts'!$F$6&lt;'Your debts'!$F$14),H39,0)+IF(AND('Your debts'!$F$7&lt;&gt;"",'Your debts'!$F$14&lt;&gt;"",'Your debts'!$F$7&lt;'Your debts'!$F$14),M39,0)+IF(AND('Your debts'!$F$8&lt;&gt;"",'Your debts'!$F$14&lt;&gt;"",'Your debts'!$F$8&lt;'Your debts'!$F$14),R39,0)+IF(AND('Your debts'!$F$9&lt;&gt;"",'Your debts'!$F$14&lt;&gt;"",'Your debts'!$F$9&lt;'Your debts'!$F$14),W39,0)+IF(AND('Your debts'!$F$10&lt;&gt;"",'Your debts'!$F$14&lt;&gt;"",'Your debts'!$F$10&lt;'Your debts'!$F$14),AB39,0)+IF(AND('Your debts'!$F$11&lt;&gt;"",'Your debts'!$F$14&lt;&gt;"",'Your debts'!$F$11&lt;'Your debts'!$F$14),AG39,0)+IF(AND('Your debts'!$F$12&lt;&gt;"",'Your debts'!$F$14&lt;&gt;"",'Your debts'!$F$12&lt;'Your debts'!$F$14),AL39,0)+IF(AND('Your debts'!$F$13&lt;&gt;"",'Your debts'!$F$14&lt;&gt;"",'Your debts'!$F$13&lt;'Your debts'!$F$14),AQ39,0)+IF(AND('Your debts'!$F$15&lt;&gt;"",'Your debts'!$F$14&lt;&gt;"",'Your debts'!$F$15&lt;'Your debts'!$F$14),BA39,0)))))</f>
        <v/>
      </c>
      <c r="AX39" s="33">
        <f>AV39-AW39</f>
        <v/>
      </c>
      <c r="AY39" s="33">
        <f>IF(BC38&lt;=0,0,ROUND(BC38*(1+'Your debts'!$D$15/1200),2))</f>
        <v/>
      </c>
      <c r="AZ39" s="33">
        <f>IF(AY39&lt;=0,0,MIN('Your debts'!$E$15,AY39))</f>
        <v/>
      </c>
      <c r="BA39" s="33">
        <f>AY39-AZ39</f>
        <v/>
      </c>
      <c r="BB39" s="33">
        <f>IF('Your debts'!$F$15="",0,MIN(BA39,MAX(0,MAX(0,'Your debts'!$C$19-(G39+L39+Q39+V39+AA39+AF39+AK39+AP39+AU39+AZ39))-(IF(AND('Your debts'!$F$6&lt;&gt;"",'Your debts'!$F$15&lt;&gt;"",'Your debts'!$F$6&lt;'Your debts'!$F$15),H39,0)+IF(AND('Your debts'!$F$7&lt;&gt;"",'Your debts'!$F$15&lt;&gt;"",'Your debts'!$F$7&lt;'Your debts'!$F$15),M39,0)+IF(AND('Your debts'!$F$8&lt;&gt;"",'Your debts'!$F$15&lt;&gt;"",'Your debts'!$F$8&lt;'Your debts'!$F$15),R39,0)+IF(AND('Your debts'!$F$9&lt;&gt;"",'Your debts'!$F$15&lt;&gt;"",'Your debts'!$F$9&lt;'Your debts'!$F$15),W39,0)+IF(AND('Your debts'!$F$10&lt;&gt;"",'Your debts'!$F$15&lt;&gt;"",'Your debts'!$F$10&lt;'Your debts'!$F$15),AB39,0)+IF(AND('Your debts'!$F$11&lt;&gt;"",'Your debts'!$F$15&lt;&gt;"",'Your debts'!$F$11&lt;'Your debts'!$F$15),AG39,0)+IF(AND('Your debts'!$F$12&lt;&gt;"",'Your debts'!$F$15&lt;&gt;"",'Your debts'!$F$12&lt;'Your debts'!$F$15),AL39,0)+IF(AND('Your debts'!$F$13&lt;&gt;"",'Your debts'!$F$15&lt;&gt;"",'Your debts'!$F$13&lt;'Your debts'!$F$15),AQ39,0)+IF(AND('Your debts'!$F$14&lt;&gt;"",'Your debts'!$F$15&lt;&gt;"",'Your debts'!$F$14&lt;'Your debts'!$F$15),AV39,0)))))</f>
        <v/>
      </c>
      <c r="BC39" s="33">
        <f>BA39-BB39</f>
        <v/>
      </c>
    </row>
    <row r="40">
      <c r="A40" s="30" t="n">
        <v>25</v>
      </c>
      <c r="B40" s="31">
        <f>EDATE($B$15,25)</f>
        <v/>
      </c>
      <c r="C40" s="32">
        <f>IF(J39&lt;=0,0,F40-J39)+IF(O39&lt;=0,0,K40-O39)+IF(T39&lt;=0,0,P40-T39)+IF(Y39&lt;=0,0,U40-Y39)+IF(AD39&lt;=0,0,Z40-AD39)+IF(AI39&lt;=0,0,AE40-AI39)+IF(AN39&lt;=0,0,AJ40-AN39)+IF(AS39&lt;=0,0,AO40-AS39)+IF(AX39&lt;=0,0,AT40-AX39)+IF(BC39&lt;=0,0,AY40-BC39)</f>
        <v/>
      </c>
      <c r="D40" s="32">
        <f>G40+I40+L40+N40+Q40+S40+V40+X40+AA40+AC40+AF40+AH40+AK40+AM40+AP40+AR40+AU40+AW40+AZ40+BB40</f>
        <v/>
      </c>
      <c r="E40" s="32">
        <f>J40+O40+T40+Y40+AD40+AI40+AN40+AS40+AX40+BC40</f>
        <v/>
      </c>
      <c r="F40" s="33">
        <f>IF(J39&lt;=0,0,ROUND(J39*(1+'Your debts'!$D$6/1200),2))</f>
        <v/>
      </c>
      <c r="G40" s="33">
        <f>IF(F40&lt;=0,0,MIN('Your debts'!$E$6,F40))</f>
        <v/>
      </c>
      <c r="H40" s="33">
        <f>F40-G40</f>
        <v/>
      </c>
      <c r="I40" s="33">
        <f>IF('Your debts'!$F$6="",0,MIN(H40,MAX(0,MAX(0,'Your debts'!$C$19-(G40+L40+Q40+V40+AA40+AF40+AK40+AP40+AU40+AZ40))-(IF(AND('Your debts'!$F$7&lt;&gt;"",'Your debts'!$F$6&lt;&gt;"",'Your debts'!$F$7&lt;'Your debts'!$F$6),M40,0)+IF(AND('Your debts'!$F$8&lt;&gt;"",'Your debts'!$F$6&lt;&gt;"",'Your debts'!$F$8&lt;'Your debts'!$F$6),R40,0)+IF(AND('Your debts'!$F$9&lt;&gt;"",'Your debts'!$F$6&lt;&gt;"",'Your debts'!$F$9&lt;'Your debts'!$F$6),W40,0)+IF(AND('Your debts'!$F$10&lt;&gt;"",'Your debts'!$F$6&lt;&gt;"",'Your debts'!$F$10&lt;'Your debts'!$F$6),AB40,0)+IF(AND('Your debts'!$F$11&lt;&gt;"",'Your debts'!$F$6&lt;&gt;"",'Your debts'!$F$11&lt;'Your debts'!$F$6),AG40,0)+IF(AND('Your debts'!$F$12&lt;&gt;"",'Your debts'!$F$6&lt;&gt;"",'Your debts'!$F$12&lt;'Your debts'!$F$6),AL40,0)+IF(AND('Your debts'!$F$13&lt;&gt;"",'Your debts'!$F$6&lt;&gt;"",'Your debts'!$F$13&lt;'Your debts'!$F$6),AQ40,0)+IF(AND('Your debts'!$F$14&lt;&gt;"",'Your debts'!$F$6&lt;&gt;"",'Your debts'!$F$14&lt;'Your debts'!$F$6),AV40,0)+IF(AND('Your debts'!$F$15&lt;&gt;"",'Your debts'!$F$6&lt;&gt;"",'Your debts'!$F$15&lt;'Your debts'!$F$6),BA40,0)))))</f>
        <v/>
      </c>
      <c r="J40" s="33">
        <f>H40-I40</f>
        <v/>
      </c>
      <c r="K40" s="33">
        <f>IF(O39&lt;=0,0,ROUND(O39*(1+'Your debts'!$D$7/1200),2))</f>
        <v/>
      </c>
      <c r="L40" s="33">
        <f>IF(K40&lt;=0,0,MIN('Your debts'!$E$7,K40))</f>
        <v/>
      </c>
      <c r="M40" s="33">
        <f>K40-L40</f>
        <v/>
      </c>
      <c r="N40" s="33">
        <f>IF('Your debts'!$F$7="",0,MIN(M40,MAX(0,MAX(0,'Your debts'!$C$19-(G40+L40+Q40+V40+AA40+AF40+AK40+AP40+AU40+AZ40))-(IF(AND('Your debts'!$F$6&lt;&gt;"",'Your debts'!$F$7&lt;&gt;"",'Your debts'!$F$6&lt;'Your debts'!$F$7),H40,0)+IF(AND('Your debts'!$F$8&lt;&gt;"",'Your debts'!$F$7&lt;&gt;"",'Your debts'!$F$8&lt;'Your debts'!$F$7),R40,0)+IF(AND('Your debts'!$F$9&lt;&gt;"",'Your debts'!$F$7&lt;&gt;"",'Your debts'!$F$9&lt;'Your debts'!$F$7),W40,0)+IF(AND('Your debts'!$F$10&lt;&gt;"",'Your debts'!$F$7&lt;&gt;"",'Your debts'!$F$10&lt;'Your debts'!$F$7),AB40,0)+IF(AND('Your debts'!$F$11&lt;&gt;"",'Your debts'!$F$7&lt;&gt;"",'Your debts'!$F$11&lt;'Your debts'!$F$7),AG40,0)+IF(AND('Your debts'!$F$12&lt;&gt;"",'Your debts'!$F$7&lt;&gt;"",'Your debts'!$F$12&lt;'Your debts'!$F$7),AL40,0)+IF(AND('Your debts'!$F$13&lt;&gt;"",'Your debts'!$F$7&lt;&gt;"",'Your debts'!$F$13&lt;'Your debts'!$F$7),AQ40,0)+IF(AND('Your debts'!$F$14&lt;&gt;"",'Your debts'!$F$7&lt;&gt;"",'Your debts'!$F$14&lt;'Your debts'!$F$7),AV40,0)+IF(AND('Your debts'!$F$15&lt;&gt;"",'Your debts'!$F$7&lt;&gt;"",'Your debts'!$F$15&lt;'Your debts'!$F$7),BA40,0)))))</f>
        <v/>
      </c>
      <c r="O40" s="33">
        <f>M40-N40</f>
        <v/>
      </c>
      <c r="P40" s="33">
        <f>IF(T39&lt;=0,0,ROUND(T39*(1+'Your debts'!$D$8/1200),2))</f>
        <v/>
      </c>
      <c r="Q40" s="33">
        <f>IF(P40&lt;=0,0,MIN('Your debts'!$E$8,P40))</f>
        <v/>
      </c>
      <c r="R40" s="33">
        <f>P40-Q40</f>
        <v/>
      </c>
      <c r="S40" s="33">
        <f>IF('Your debts'!$F$8="",0,MIN(R40,MAX(0,MAX(0,'Your debts'!$C$19-(G40+L40+Q40+V40+AA40+AF40+AK40+AP40+AU40+AZ40))-(IF(AND('Your debts'!$F$6&lt;&gt;"",'Your debts'!$F$8&lt;&gt;"",'Your debts'!$F$6&lt;'Your debts'!$F$8),H40,0)+IF(AND('Your debts'!$F$7&lt;&gt;"",'Your debts'!$F$8&lt;&gt;"",'Your debts'!$F$7&lt;'Your debts'!$F$8),M40,0)+IF(AND('Your debts'!$F$9&lt;&gt;"",'Your debts'!$F$8&lt;&gt;"",'Your debts'!$F$9&lt;'Your debts'!$F$8),W40,0)+IF(AND('Your debts'!$F$10&lt;&gt;"",'Your debts'!$F$8&lt;&gt;"",'Your debts'!$F$10&lt;'Your debts'!$F$8),AB40,0)+IF(AND('Your debts'!$F$11&lt;&gt;"",'Your debts'!$F$8&lt;&gt;"",'Your debts'!$F$11&lt;'Your debts'!$F$8),AG40,0)+IF(AND('Your debts'!$F$12&lt;&gt;"",'Your debts'!$F$8&lt;&gt;"",'Your debts'!$F$12&lt;'Your debts'!$F$8),AL40,0)+IF(AND('Your debts'!$F$13&lt;&gt;"",'Your debts'!$F$8&lt;&gt;"",'Your debts'!$F$13&lt;'Your debts'!$F$8),AQ40,0)+IF(AND('Your debts'!$F$14&lt;&gt;"",'Your debts'!$F$8&lt;&gt;"",'Your debts'!$F$14&lt;'Your debts'!$F$8),AV40,0)+IF(AND('Your debts'!$F$15&lt;&gt;"",'Your debts'!$F$8&lt;&gt;"",'Your debts'!$F$15&lt;'Your debts'!$F$8),BA40,0)))))</f>
        <v/>
      </c>
      <c r="T40" s="33">
        <f>R40-S40</f>
        <v/>
      </c>
      <c r="U40" s="33">
        <f>IF(Y39&lt;=0,0,ROUND(Y39*(1+'Your debts'!$D$9/1200),2))</f>
        <v/>
      </c>
      <c r="V40" s="33">
        <f>IF(U40&lt;=0,0,MIN('Your debts'!$E$9,U40))</f>
        <v/>
      </c>
      <c r="W40" s="33">
        <f>U40-V40</f>
        <v/>
      </c>
      <c r="X40" s="33">
        <f>IF('Your debts'!$F$9="",0,MIN(W40,MAX(0,MAX(0,'Your debts'!$C$19-(G40+L40+Q40+V40+AA40+AF40+AK40+AP40+AU40+AZ40))-(IF(AND('Your debts'!$F$6&lt;&gt;"",'Your debts'!$F$9&lt;&gt;"",'Your debts'!$F$6&lt;'Your debts'!$F$9),H40,0)+IF(AND('Your debts'!$F$7&lt;&gt;"",'Your debts'!$F$9&lt;&gt;"",'Your debts'!$F$7&lt;'Your debts'!$F$9),M40,0)+IF(AND('Your debts'!$F$8&lt;&gt;"",'Your debts'!$F$9&lt;&gt;"",'Your debts'!$F$8&lt;'Your debts'!$F$9),R40,0)+IF(AND('Your debts'!$F$10&lt;&gt;"",'Your debts'!$F$9&lt;&gt;"",'Your debts'!$F$10&lt;'Your debts'!$F$9),AB40,0)+IF(AND('Your debts'!$F$11&lt;&gt;"",'Your debts'!$F$9&lt;&gt;"",'Your debts'!$F$11&lt;'Your debts'!$F$9),AG40,0)+IF(AND('Your debts'!$F$12&lt;&gt;"",'Your debts'!$F$9&lt;&gt;"",'Your debts'!$F$12&lt;'Your debts'!$F$9),AL40,0)+IF(AND('Your debts'!$F$13&lt;&gt;"",'Your debts'!$F$9&lt;&gt;"",'Your debts'!$F$13&lt;'Your debts'!$F$9),AQ40,0)+IF(AND('Your debts'!$F$14&lt;&gt;"",'Your debts'!$F$9&lt;&gt;"",'Your debts'!$F$14&lt;'Your debts'!$F$9),AV40,0)+IF(AND('Your debts'!$F$15&lt;&gt;"",'Your debts'!$F$9&lt;&gt;"",'Your debts'!$F$15&lt;'Your debts'!$F$9),BA40,0)))))</f>
        <v/>
      </c>
      <c r="Y40" s="33">
        <f>W40-X40</f>
        <v/>
      </c>
      <c r="Z40" s="33">
        <f>IF(AD39&lt;=0,0,ROUND(AD39*(1+'Your debts'!$D$10/1200),2))</f>
        <v/>
      </c>
      <c r="AA40" s="33">
        <f>IF(Z40&lt;=0,0,MIN('Your debts'!$E$10,Z40))</f>
        <v/>
      </c>
      <c r="AB40" s="33">
        <f>Z40-AA40</f>
        <v/>
      </c>
      <c r="AC40" s="33">
        <f>IF('Your debts'!$F$10="",0,MIN(AB40,MAX(0,MAX(0,'Your debts'!$C$19-(G40+L40+Q40+V40+AA40+AF40+AK40+AP40+AU40+AZ40))-(IF(AND('Your debts'!$F$6&lt;&gt;"",'Your debts'!$F$10&lt;&gt;"",'Your debts'!$F$6&lt;'Your debts'!$F$10),H40,0)+IF(AND('Your debts'!$F$7&lt;&gt;"",'Your debts'!$F$10&lt;&gt;"",'Your debts'!$F$7&lt;'Your debts'!$F$10),M40,0)+IF(AND('Your debts'!$F$8&lt;&gt;"",'Your debts'!$F$10&lt;&gt;"",'Your debts'!$F$8&lt;'Your debts'!$F$10),R40,0)+IF(AND('Your debts'!$F$9&lt;&gt;"",'Your debts'!$F$10&lt;&gt;"",'Your debts'!$F$9&lt;'Your debts'!$F$10),W40,0)+IF(AND('Your debts'!$F$11&lt;&gt;"",'Your debts'!$F$10&lt;&gt;"",'Your debts'!$F$11&lt;'Your debts'!$F$10),AG40,0)+IF(AND('Your debts'!$F$12&lt;&gt;"",'Your debts'!$F$10&lt;&gt;"",'Your debts'!$F$12&lt;'Your debts'!$F$10),AL40,0)+IF(AND('Your debts'!$F$13&lt;&gt;"",'Your debts'!$F$10&lt;&gt;"",'Your debts'!$F$13&lt;'Your debts'!$F$10),AQ40,0)+IF(AND('Your debts'!$F$14&lt;&gt;"",'Your debts'!$F$10&lt;&gt;"",'Your debts'!$F$14&lt;'Your debts'!$F$10),AV40,0)+IF(AND('Your debts'!$F$15&lt;&gt;"",'Your debts'!$F$10&lt;&gt;"",'Your debts'!$F$15&lt;'Your debts'!$F$10),BA40,0)))))</f>
        <v/>
      </c>
      <c r="AD40" s="33">
        <f>AB40-AC40</f>
        <v/>
      </c>
      <c r="AE40" s="33">
        <f>IF(AI39&lt;=0,0,ROUND(AI39*(1+'Your debts'!$D$11/1200),2))</f>
        <v/>
      </c>
      <c r="AF40" s="33">
        <f>IF(AE40&lt;=0,0,MIN('Your debts'!$E$11,AE40))</f>
        <v/>
      </c>
      <c r="AG40" s="33">
        <f>AE40-AF40</f>
        <v/>
      </c>
      <c r="AH40" s="33">
        <f>IF('Your debts'!$F$11="",0,MIN(AG40,MAX(0,MAX(0,'Your debts'!$C$19-(G40+L40+Q40+V40+AA40+AF40+AK40+AP40+AU40+AZ40))-(IF(AND('Your debts'!$F$6&lt;&gt;"",'Your debts'!$F$11&lt;&gt;"",'Your debts'!$F$6&lt;'Your debts'!$F$11),H40,0)+IF(AND('Your debts'!$F$7&lt;&gt;"",'Your debts'!$F$11&lt;&gt;"",'Your debts'!$F$7&lt;'Your debts'!$F$11),M40,0)+IF(AND('Your debts'!$F$8&lt;&gt;"",'Your debts'!$F$11&lt;&gt;"",'Your debts'!$F$8&lt;'Your debts'!$F$11),R40,0)+IF(AND('Your debts'!$F$9&lt;&gt;"",'Your debts'!$F$11&lt;&gt;"",'Your debts'!$F$9&lt;'Your debts'!$F$11),W40,0)+IF(AND('Your debts'!$F$10&lt;&gt;"",'Your debts'!$F$11&lt;&gt;"",'Your debts'!$F$10&lt;'Your debts'!$F$11),AB40,0)+IF(AND('Your debts'!$F$12&lt;&gt;"",'Your debts'!$F$11&lt;&gt;"",'Your debts'!$F$12&lt;'Your debts'!$F$11),AL40,0)+IF(AND('Your debts'!$F$13&lt;&gt;"",'Your debts'!$F$11&lt;&gt;"",'Your debts'!$F$13&lt;'Your debts'!$F$11),AQ40,0)+IF(AND('Your debts'!$F$14&lt;&gt;"",'Your debts'!$F$11&lt;&gt;"",'Your debts'!$F$14&lt;'Your debts'!$F$11),AV40,0)+IF(AND('Your debts'!$F$15&lt;&gt;"",'Your debts'!$F$11&lt;&gt;"",'Your debts'!$F$15&lt;'Your debts'!$F$11),BA40,0)))))</f>
        <v/>
      </c>
      <c r="AI40" s="33">
        <f>AG40-AH40</f>
        <v/>
      </c>
      <c r="AJ40" s="33">
        <f>IF(AN39&lt;=0,0,ROUND(AN39*(1+'Your debts'!$D$12/1200),2))</f>
        <v/>
      </c>
      <c r="AK40" s="33">
        <f>IF(AJ40&lt;=0,0,MIN('Your debts'!$E$12,AJ40))</f>
        <v/>
      </c>
      <c r="AL40" s="33">
        <f>AJ40-AK40</f>
        <v/>
      </c>
      <c r="AM40" s="33">
        <f>IF('Your debts'!$F$12="",0,MIN(AL40,MAX(0,MAX(0,'Your debts'!$C$19-(G40+L40+Q40+V40+AA40+AF40+AK40+AP40+AU40+AZ40))-(IF(AND('Your debts'!$F$6&lt;&gt;"",'Your debts'!$F$12&lt;&gt;"",'Your debts'!$F$6&lt;'Your debts'!$F$12),H40,0)+IF(AND('Your debts'!$F$7&lt;&gt;"",'Your debts'!$F$12&lt;&gt;"",'Your debts'!$F$7&lt;'Your debts'!$F$12),M40,0)+IF(AND('Your debts'!$F$8&lt;&gt;"",'Your debts'!$F$12&lt;&gt;"",'Your debts'!$F$8&lt;'Your debts'!$F$12),R40,0)+IF(AND('Your debts'!$F$9&lt;&gt;"",'Your debts'!$F$12&lt;&gt;"",'Your debts'!$F$9&lt;'Your debts'!$F$12),W40,0)+IF(AND('Your debts'!$F$10&lt;&gt;"",'Your debts'!$F$12&lt;&gt;"",'Your debts'!$F$10&lt;'Your debts'!$F$12),AB40,0)+IF(AND('Your debts'!$F$11&lt;&gt;"",'Your debts'!$F$12&lt;&gt;"",'Your debts'!$F$11&lt;'Your debts'!$F$12),AG40,0)+IF(AND('Your debts'!$F$13&lt;&gt;"",'Your debts'!$F$12&lt;&gt;"",'Your debts'!$F$13&lt;'Your debts'!$F$12),AQ40,0)+IF(AND('Your debts'!$F$14&lt;&gt;"",'Your debts'!$F$12&lt;&gt;"",'Your debts'!$F$14&lt;'Your debts'!$F$12),AV40,0)+IF(AND('Your debts'!$F$15&lt;&gt;"",'Your debts'!$F$12&lt;&gt;"",'Your debts'!$F$15&lt;'Your debts'!$F$12),BA40,0)))))</f>
        <v/>
      </c>
      <c r="AN40" s="33">
        <f>AL40-AM40</f>
        <v/>
      </c>
      <c r="AO40" s="33">
        <f>IF(AS39&lt;=0,0,ROUND(AS39*(1+'Your debts'!$D$13/1200),2))</f>
        <v/>
      </c>
      <c r="AP40" s="33">
        <f>IF(AO40&lt;=0,0,MIN('Your debts'!$E$13,AO40))</f>
        <v/>
      </c>
      <c r="AQ40" s="33">
        <f>AO40-AP40</f>
        <v/>
      </c>
      <c r="AR40" s="33">
        <f>IF('Your debts'!$F$13="",0,MIN(AQ40,MAX(0,MAX(0,'Your debts'!$C$19-(G40+L40+Q40+V40+AA40+AF40+AK40+AP40+AU40+AZ40))-(IF(AND('Your debts'!$F$6&lt;&gt;"",'Your debts'!$F$13&lt;&gt;"",'Your debts'!$F$6&lt;'Your debts'!$F$13),H40,0)+IF(AND('Your debts'!$F$7&lt;&gt;"",'Your debts'!$F$13&lt;&gt;"",'Your debts'!$F$7&lt;'Your debts'!$F$13),M40,0)+IF(AND('Your debts'!$F$8&lt;&gt;"",'Your debts'!$F$13&lt;&gt;"",'Your debts'!$F$8&lt;'Your debts'!$F$13),R40,0)+IF(AND('Your debts'!$F$9&lt;&gt;"",'Your debts'!$F$13&lt;&gt;"",'Your debts'!$F$9&lt;'Your debts'!$F$13),W40,0)+IF(AND('Your debts'!$F$10&lt;&gt;"",'Your debts'!$F$13&lt;&gt;"",'Your debts'!$F$10&lt;'Your debts'!$F$13),AB40,0)+IF(AND('Your debts'!$F$11&lt;&gt;"",'Your debts'!$F$13&lt;&gt;"",'Your debts'!$F$11&lt;'Your debts'!$F$13),AG40,0)+IF(AND('Your debts'!$F$12&lt;&gt;"",'Your debts'!$F$13&lt;&gt;"",'Your debts'!$F$12&lt;'Your debts'!$F$13),AL40,0)+IF(AND('Your debts'!$F$14&lt;&gt;"",'Your debts'!$F$13&lt;&gt;"",'Your debts'!$F$14&lt;'Your debts'!$F$13),AV40,0)+IF(AND('Your debts'!$F$15&lt;&gt;"",'Your debts'!$F$13&lt;&gt;"",'Your debts'!$F$15&lt;'Your debts'!$F$13),BA40,0)))))</f>
        <v/>
      </c>
      <c r="AS40" s="33">
        <f>AQ40-AR40</f>
        <v/>
      </c>
      <c r="AT40" s="33">
        <f>IF(AX39&lt;=0,0,ROUND(AX39*(1+'Your debts'!$D$14/1200),2))</f>
        <v/>
      </c>
      <c r="AU40" s="33">
        <f>IF(AT40&lt;=0,0,MIN('Your debts'!$E$14,AT40))</f>
        <v/>
      </c>
      <c r="AV40" s="33">
        <f>AT40-AU40</f>
        <v/>
      </c>
      <c r="AW40" s="33">
        <f>IF('Your debts'!$F$14="",0,MIN(AV40,MAX(0,MAX(0,'Your debts'!$C$19-(G40+L40+Q40+V40+AA40+AF40+AK40+AP40+AU40+AZ40))-(IF(AND('Your debts'!$F$6&lt;&gt;"",'Your debts'!$F$14&lt;&gt;"",'Your debts'!$F$6&lt;'Your debts'!$F$14),H40,0)+IF(AND('Your debts'!$F$7&lt;&gt;"",'Your debts'!$F$14&lt;&gt;"",'Your debts'!$F$7&lt;'Your debts'!$F$14),M40,0)+IF(AND('Your debts'!$F$8&lt;&gt;"",'Your debts'!$F$14&lt;&gt;"",'Your debts'!$F$8&lt;'Your debts'!$F$14),R40,0)+IF(AND('Your debts'!$F$9&lt;&gt;"",'Your debts'!$F$14&lt;&gt;"",'Your debts'!$F$9&lt;'Your debts'!$F$14),W40,0)+IF(AND('Your debts'!$F$10&lt;&gt;"",'Your debts'!$F$14&lt;&gt;"",'Your debts'!$F$10&lt;'Your debts'!$F$14),AB40,0)+IF(AND('Your debts'!$F$11&lt;&gt;"",'Your debts'!$F$14&lt;&gt;"",'Your debts'!$F$11&lt;'Your debts'!$F$14),AG40,0)+IF(AND('Your debts'!$F$12&lt;&gt;"",'Your debts'!$F$14&lt;&gt;"",'Your debts'!$F$12&lt;'Your debts'!$F$14),AL40,0)+IF(AND('Your debts'!$F$13&lt;&gt;"",'Your debts'!$F$14&lt;&gt;"",'Your debts'!$F$13&lt;'Your debts'!$F$14),AQ40,0)+IF(AND('Your debts'!$F$15&lt;&gt;"",'Your debts'!$F$14&lt;&gt;"",'Your debts'!$F$15&lt;'Your debts'!$F$14),BA40,0)))))</f>
        <v/>
      </c>
      <c r="AX40" s="33">
        <f>AV40-AW40</f>
        <v/>
      </c>
      <c r="AY40" s="33">
        <f>IF(BC39&lt;=0,0,ROUND(BC39*(1+'Your debts'!$D$15/1200),2))</f>
        <v/>
      </c>
      <c r="AZ40" s="33">
        <f>IF(AY40&lt;=0,0,MIN('Your debts'!$E$15,AY40))</f>
        <v/>
      </c>
      <c r="BA40" s="33">
        <f>AY40-AZ40</f>
        <v/>
      </c>
      <c r="BB40" s="33">
        <f>IF('Your debts'!$F$15="",0,MIN(BA40,MAX(0,MAX(0,'Your debts'!$C$19-(G40+L40+Q40+V40+AA40+AF40+AK40+AP40+AU40+AZ40))-(IF(AND('Your debts'!$F$6&lt;&gt;"",'Your debts'!$F$15&lt;&gt;"",'Your debts'!$F$6&lt;'Your debts'!$F$15),H40,0)+IF(AND('Your debts'!$F$7&lt;&gt;"",'Your debts'!$F$15&lt;&gt;"",'Your debts'!$F$7&lt;'Your debts'!$F$15),M40,0)+IF(AND('Your debts'!$F$8&lt;&gt;"",'Your debts'!$F$15&lt;&gt;"",'Your debts'!$F$8&lt;'Your debts'!$F$15),R40,0)+IF(AND('Your debts'!$F$9&lt;&gt;"",'Your debts'!$F$15&lt;&gt;"",'Your debts'!$F$9&lt;'Your debts'!$F$15),W40,0)+IF(AND('Your debts'!$F$10&lt;&gt;"",'Your debts'!$F$15&lt;&gt;"",'Your debts'!$F$10&lt;'Your debts'!$F$15),AB40,0)+IF(AND('Your debts'!$F$11&lt;&gt;"",'Your debts'!$F$15&lt;&gt;"",'Your debts'!$F$11&lt;'Your debts'!$F$15),AG40,0)+IF(AND('Your debts'!$F$12&lt;&gt;"",'Your debts'!$F$15&lt;&gt;"",'Your debts'!$F$12&lt;'Your debts'!$F$15),AL40,0)+IF(AND('Your debts'!$F$13&lt;&gt;"",'Your debts'!$F$15&lt;&gt;"",'Your debts'!$F$13&lt;'Your debts'!$F$15),AQ40,0)+IF(AND('Your debts'!$F$14&lt;&gt;"",'Your debts'!$F$15&lt;&gt;"",'Your debts'!$F$14&lt;'Your debts'!$F$15),AV40,0)))))</f>
        <v/>
      </c>
      <c r="BC40" s="33">
        <f>BA40-BB40</f>
        <v/>
      </c>
    </row>
    <row r="41">
      <c r="A41" s="30" t="n">
        <v>26</v>
      </c>
      <c r="B41" s="31">
        <f>EDATE($B$15,26)</f>
        <v/>
      </c>
      <c r="C41" s="32">
        <f>IF(J40&lt;=0,0,F41-J40)+IF(O40&lt;=0,0,K41-O40)+IF(T40&lt;=0,0,P41-T40)+IF(Y40&lt;=0,0,U41-Y40)+IF(AD40&lt;=0,0,Z41-AD40)+IF(AI40&lt;=0,0,AE41-AI40)+IF(AN40&lt;=0,0,AJ41-AN40)+IF(AS40&lt;=0,0,AO41-AS40)+IF(AX40&lt;=0,0,AT41-AX40)+IF(BC40&lt;=0,0,AY41-BC40)</f>
        <v/>
      </c>
      <c r="D41" s="32">
        <f>G41+I41+L41+N41+Q41+S41+V41+X41+AA41+AC41+AF41+AH41+AK41+AM41+AP41+AR41+AU41+AW41+AZ41+BB41</f>
        <v/>
      </c>
      <c r="E41" s="32">
        <f>J41+O41+T41+Y41+AD41+AI41+AN41+AS41+AX41+BC41</f>
        <v/>
      </c>
      <c r="F41" s="33">
        <f>IF(J40&lt;=0,0,ROUND(J40*(1+'Your debts'!$D$6/1200),2))</f>
        <v/>
      </c>
      <c r="G41" s="33">
        <f>IF(F41&lt;=0,0,MIN('Your debts'!$E$6,F41))</f>
        <v/>
      </c>
      <c r="H41" s="33">
        <f>F41-G41</f>
        <v/>
      </c>
      <c r="I41" s="33">
        <f>IF('Your debts'!$F$6="",0,MIN(H41,MAX(0,MAX(0,'Your debts'!$C$19-(G41+L41+Q41+V41+AA41+AF41+AK41+AP41+AU41+AZ41))-(IF(AND('Your debts'!$F$7&lt;&gt;"",'Your debts'!$F$6&lt;&gt;"",'Your debts'!$F$7&lt;'Your debts'!$F$6),M41,0)+IF(AND('Your debts'!$F$8&lt;&gt;"",'Your debts'!$F$6&lt;&gt;"",'Your debts'!$F$8&lt;'Your debts'!$F$6),R41,0)+IF(AND('Your debts'!$F$9&lt;&gt;"",'Your debts'!$F$6&lt;&gt;"",'Your debts'!$F$9&lt;'Your debts'!$F$6),W41,0)+IF(AND('Your debts'!$F$10&lt;&gt;"",'Your debts'!$F$6&lt;&gt;"",'Your debts'!$F$10&lt;'Your debts'!$F$6),AB41,0)+IF(AND('Your debts'!$F$11&lt;&gt;"",'Your debts'!$F$6&lt;&gt;"",'Your debts'!$F$11&lt;'Your debts'!$F$6),AG41,0)+IF(AND('Your debts'!$F$12&lt;&gt;"",'Your debts'!$F$6&lt;&gt;"",'Your debts'!$F$12&lt;'Your debts'!$F$6),AL41,0)+IF(AND('Your debts'!$F$13&lt;&gt;"",'Your debts'!$F$6&lt;&gt;"",'Your debts'!$F$13&lt;'Your debts'!$F$6),AQ41,0)+IF(AND('Your debts'!$F$14&lt;&gt;"",'Your debts'!$F$6&lt;&gt;"",'Your debts'!$F$14&lt;'Your debts'!$F$6),AV41,0)+IF(AND('Your debts'!$F$15&lt;&gt;"",'Your debts'!$F$6&lt;&gt;"",'Your debts'!$F$15&lt;'Your debts'!$F$6),BA41,0)))))</f>
        <v/>
      </c>
      <c r="J41" s="33">
        <f>H41-I41</f>
        <v/>
      </c>
      <c r="K41" s="33">
        <f>IF(O40&lt;=0,0,ROUND(O40*(1+'Your debts'!$D$7/1200),2))</f>
        <v/>
      </c>
      <c r="L41" s="33">
        <f>IF(K41&lt;=0,0,MIN('Your debts'!$E$7,K41))</f>
        <v/>
      </c>
      <c r="M41" s="33">
        <f>K41-L41</f>
        <v/>
      </c>
      <c r="N41" s="33">
        <f>IF('Your debts'!$F$7="",0,MIN(M41,MAX(0,MAX(0,'Your debts'!$C$19-(G41+L41+Q41+V41+AA41+AF41+AK41+AP41+AU41+AZ41))-(IF(AND('Your debts'!$F$6&lt;&gt;"",'Your debts'!$F$7&lt;&gt;"",'Your debts'!$F$6&lt;'Your debts'!$F$7),H41,0)+IF(AND('Your debts'!$F$8&lt;&gt;"",'Your debts'!$F$7&lt;&gt;"",'Your debts'!$F$8&lt;'Your debts'!$F$7),R41,0)+IF(AND('Your debts'!$F$9&lt;&gt;"",'Your debts'!$F$7&lt;&gt;"",'Your debts'!$F$9&lt;'Your debts'!$F$7),W41,0)+IF(AND('Your debts'!$F$10&lt;&gt;"",'Your debts'!$F$7&lt;&gt;"",'Your debts'!$F$10&lt;'Your debts'!$F$7),AB41,0)+IF(AND('Your debts'!$F$11&lt;&gt;"",'Your debts'!$F$7&lt;&gt;"",'Your debts'!$F$11&lt;'Your debts'!$F$7),AG41,0)+IF(AND('Your debts'!$F$12&lt;&gt;"",'Your debts'!$F$7&lt;&gt;"",'Your debts'!$F$12&lt;'Your debts'!$F$7),AL41,0)+IF(AND('Your debts'!$F$13&lt;&gt;"",'Your debts'!$F$7&lt;&gt;"",'Your debts'!$F$13&lt;'Your debts'!$F$7),AQ41,0)+IF(AND('Your debts'!$F$14&lt;&gt;"",'Your debts'!$F$7&lt;&gt;"",'Your debts'!$F$14&lt;'Your debts'!$F$7),AV41,0)+IF(AND('Your debts'!$F$15&lt;&gt;"",'Your debts'!$F$7&lt;&gt;"",'Your debts'!$F$15&lt;'Your debts'!$F$7),BA41,0)))))</f>
        <v/>
      </c>
      <c r="O41" s="33">
        <f>M41-N41</f>
        <v/>
      </c>
      <c r="P41" s="33">
        <f>IF(T40&lt;=0,0,ROUND(T40*(1+'Your debts'!$D$8/1200),2))</f>
        <v/>
      </c>
      <c r="Q41" s="33">
        <f>IF(P41&lt;=0,0,MIN('Your debts'!$E$8,P41))</f>
        <v/>
      </c>
      <c r="R41" s="33">
        <f>P41-Q41</f>
        <v/>
      </c>
      <c r="S41" s="33">
        <f>IF('Your debts'!$F$8="",0,MIN(R41,MAX(0,MAX(0,'Your debts'!$C$19-(G41+L41+Q41+V41+AA41+AF41+AK41+AP41+AU41+AZ41))-(IF(AND('Your debts'!$F$6&lt;&gt;"",'Your debts'!$F$8&lt;&gt;"",'Your debts'!$F$6&lt;'Your debts'!$F$8),H41,0)+IF(AND('Your debts'!$F$7&lt;&gt;"",'Your debts'!$F$8&lt;&gt;"",'Your debts'!$F$7&lt;'Your debts'!$F$8),M41,0)+IF(AND('Your debts'!$F$9&lt;&gt;"",'Your debts'!$F$8&lt;&gt;"",'Your debts'!$F$9&lt;'Your debts'!$F$8),W41,0)+IF(AND('Your debts'!$F$10&lt;&gt;"",'Your debts'!$F$8&lt;&gt;"",'Your debts'!$F$10&lt;'Your debts'!$F$8),AB41,0)+IF(AND('Your debts'!$F$11&lt;&gt;"",'Your debts'!$F$8&lt;&gt;"",'Your debts'!$F$11&lt;'Your debts'!$F$8),AG41,0)+IF(AND('Your debts'!$F$12&lt;&gt;"",'Your debts'!$F$8&lt;&gt;"",'Your debts'!$F$12&lt;'Your debts'!$F$8),AL41,0)+IF(AND('Your debts'!$F$13&lt;&gt;"",'Your debts'!$F$8&lt;&gt;"",'Your debts'!$F$13&lt;'Your debts'!$F$8),AQ41,0)+IF(AND('Your debts'!$F$14&lt;&gt;"",'Your debts'!$F$8&lt;&gt;"",'Your debts'!$F$14&lt;'Your debts'!$F$8),AV41,0)+IF(AND('Your debts'!$F$15&lt;&gt;"",'Your debts'!$F$8&lt;&gt;"",'Your debts'!$F$15&lt;'Your debts'!$F$8),BA41,0)))))</f>
        <v/>
      </c>
      <c r="T41" s="33">
        <f>R41-S41</f>
        <v/>
      </c>
      <c r="U41" s="33">
        <f>IF(Y40&lt;=0,0,ROUND(Y40*(1+'Your debts'!$D$9/1200),2))</f>
        <v/>
      </c>
      <c r="V41" s="33">
        <f>IF(U41&lt;=0,0,MIN('Your debts'!$E$9,U41))</f>
        <v/>
      </c>
      <c r="W41" s="33">
        <f>U41-V41</f>
        <v/>
      </c>
      <c r="X41" s="33">
        <f>IF('Your debts'!$F$9="",0,MIN(W41,MAX(0,MAX(0,'Your debts'!$C$19-(G41+L41+Q41+V41+AA41+AF41+AK41+AP41+AU41+AZ41))-(IF(AND('Your debts'!$F$6&lt;&gt;"",'Your debts'!$F$9&lt;&gt;"",'Your debts'!$F$6&lt;'Your debts'!$F$9),H41,0)+IF(AND('Your debts'!$F$7&lt;&gt;"",'Your debts'!$F$9&lt;&gt;"",'Your debts'!$F$7&lt;'Your debts'!$F$9),M41,0)+IF(AND('Your debts'!$F$8&lt;&gt;"",'Your debts'!$F$9&lt;&gt;"",'Your debts'!$F$8&lt;'Your debts'!$F$9),R41,0)+IF(AND('Your debts'!$F$10&lt;&gt;"",'Your debts'!$F$9&lt;&gt;"",'Your debts'!$F$10&lt;'Your debts'!$F$9),AB41,0)+IF(AND('Your debts'!$F$11&lt;&gt;"",'Your debts'!$F$9&lt;&gt;"",'Your debts'!$F$11&lt;'Your debts'!$F$9),AG41,0)+IF(AND('Your debts'!$F$12&lt;&gt;"",'Your debts'!$F$9&lt;&gt;"",'Your debts'!$F$12&lt;'Your debts'!$F$9),AL41,0)+IF(AND('Your debts'!$F$13&lt;&gt;"",'Your debts'!$F$9&lt;&gt;"",'Your debts'!$F$13&lt;'Your debts'!$F$9),AQ41,0)+IF(AND('Your debts'!$F$14&lt;&gt;"",'Your debts'!$F$9&lt;&gt;"",'Your debts'!$F$14&lt;'Your debts'!$F$9),AV41,0)+IF(AND('Your debts'!$F$15&lt;&gt;"",'Your debts'!$F$9&lt;&gt;"",'Your debts'!$F$15&lt;'Your debts'!$F$9),BA41,0)))))</f>
        <v/>
      </c>
      <c r="Y41" s="33">
        <f>W41-X41</f>
        <v/>
      </c>
      <c r="Z41" s="33">
        <f>IF(AD40&lt;=0,0,ROUND(AD40*(1+'Your debts'!$D$10/1200),2))</f>
        <v/>
      </c>
      <c r="AA41" s="33">
        <f>IF(Z41&lt;=0,0,MIN('Your debts'!$E$10,Z41))</f>
        <v/>
      </c>
      <c r="AB41" s="33">
        <f>Z41-AA41</f>
        <v/>
      </c>
      <c r="AC41" s="33">
        <f>IF('Your debts'!$F$10="",0,MIN(AB41,MAX(0,MAX(0,'Your debts'!$C$19-(G41+L41+Q41+V41+AA41+AF41+AK41+AP41+AU41+AZ41))-(IF(AND('Your debts'!$F$6&lt;&gt;"",'Your debts'!$F$10&lt;&gt;"",'Your debts'!$F$6&lt;'Your debts'!$F$10),H41,0)+IF(AND('Your debts'!$F$7&lt;&gt;"",'Your debts'!$F$10&lt;&gt;"",'Your debts'!$F$7&lt;'Your debts'!$F$10),M41,0)+IF(AND('Your debts'!$F$8&lt;&gt;"",'Your debts'!$F$10&lt;&gt;"",'Your debts'!$F$8&lt;'Your debts'!$F$10),R41,0)+IF(AND('Your debts'!$F$9&lt;&gt;"",'Your debts'!$F$10&lt;&gt;"",'Your debts'!$F$9&lt;'Your debts'!$F$10),W41,0)+IF(AND('Your debts'!$F$11&lt;&gt;"",'Your debts'!$F$10&lt;&gt;"",'Your debts'!$F$11&lt;'Your debts'!$F$10),AG41,0)+IF(AND('Your debts'!$F$12&lt;&gt;"",'Your debts'!$F$10&lt;&gt;"",'Your debts'!$F$12&lt;'Your debts'!$F$10),AL41,0)+IF(AND('Your debts'!$F$13&lt;&gt;"",'Your debts'!$F$10&lt;&gt;"",'Your debts'!$F$13&lt;'Your debts'!$F$10),AQ41,0)+IF(AND('Your debts'!$F$14&lt;&gt;"",'Your debts'!$F$10&lt;&gt;"",'Your debts'!$F$14&lt;'Your debts'!$F$10),AV41,0)+IF(AND('Your debts'!$F$15&lt;&gt;"",'Your debts'!$F$10&lt;&gt;"",'Your debts'!$F$15&lt;'Your debts'!$F$10),BA41,0)))))</f>
        <v/>
      </c>
      <c r="AD41" s="33">
        <f>AB41-AC41</f>
        <v/>
      </c>
      <c r="AE41" s="33">
        <f>IF(AI40&lt;=0,0,ROUND(AI40*(1+'Your debts'!$D$11/1200),2))</f>
        <v/>
      </c>
      <c r="AF41" s="33">
        <f>IF(AE41&lt;=0,0,MIN('Your debts'!$E$11,AE41))</f>
        <v/>
      </c>
      <c r="AG41" s="33">
        <f>AE41-AF41</f>
        <v/>
      </c>
      <c r="AH41" s="33">
        <f>IF('Your debts'!$F$11="",0,MIN(AG41,MAX(0,MAX(0,'Your debts'!$C$19-(G41+L41+Q41+V41+AA41+AF41+AK41+AP41+AU41+AZ41))-(IF(AND('Your debts'!$F$6&lt;&gt;"",'Your debts'!$F$11&lt;&gt;"",'Your debts'!$F$6&lt;'Your debts'!$F$11),H41,0)+IF(AND('Your debts'!$F$7&lt;&gt;"",'Your debts'!$F$11&lt;&gt;"",'Your debts'!$F$7&lt;'Your debts'!$F$11),M41,0)+IF(AND('Your debts'!$F$8&lt;&gt;"",'Your debts'!$F$11&lt;&gt;"",'Your debts'!$F$8&lt;'Your debts'!$F$11),R41,0)+IF(AND('Your debts'!$F$9&lt;&gt;"",'Your debts'!$F$11&lt;&gt;"",'Your debts'!$F$9&lt;'Your debts'!$F$11),W41,0)+IF(AND('Your debts'!$F$10&lt;&gt;"",'Your debts'!$F$11&lt;&gt;"",'Your debts'!$F$10&lt;'Your debts'!$F$11),AB41,0)+IF(AND('Your debts'!$F$12&lt;&gt;"",'Your debts'!$F$11&lt;&gt;"",'Your debts'!$F$12&lt;'Your debts'!$F$11),AL41,0)+IF(AND('Your debts'!$F$13&lt;&gt;"",'Your debts'!$F$11&lt;&gt;"",'Your debts'!$F$13&lt;'Your debts'!$F$11),AQ41,0)+IF(AND('Your debts'!$F$14&lt;&gt;"",'Your debts'!$F$11&lt;&gt;"",'Your debts'!$F$14&lt;'Your debts'!$F$11),AV41,0)+IF(AND('Your debts'!$F$15&lt;&gt;"",'Your debts'!$F$11&lt;&gt;"",'Your debts'!$F$15&lt;'Your debts'!$F$11),BA41,0)))))</f>
        <v/>
      </c>
      <c r="AI41" s="33">
        <f>AG41-AH41</f>
        <v/>
      </c>
      <c r="AJ41" s="33">
        <f>IF(AN40&lt;=0,0,ROUND(AN40*(1+'Your debts'!$D$12/1200),2))</f>
        <v/>
      </c>
      <c r="AK41" s="33">
        <f>IF(AJ41&lt;=0,0,MIN('Your debts'!$E$12,AJ41))</f>
        <v/>
      </c>
      <c r="AL41" s="33">
        <f>AJ41-AK41</f>
        <v/>
      </c>
      <c r="AM41" s="33">
        <f>IF('Your debts'!$F$12="",0,MIN(AL41,MAX(0,MAX(0,'Your debts'!$C$19-(G41+L41+Q41+V41+AA41+AF41+AK41+AP41+AU41+AZ41))-(IF(AND('Your debts'!$F$6&lt;&gt;"",'Your debts'!$F$12&lt;&gt;"",'Your debts'!$F$6&lt;'Your debts'!$F$12),H41,0)+IF(AND('Your debts'!$F$7&lt;&gt;"",'Your debts'!$F$12&lt;&gt;"",'Your debts'!$F$7&lt;'Your debts'!$F$12),M41,0)+IF(AND('Your debts'!$F$8&lt;&gt;"",'Your debts'!$F$12&lt;&gt;"",'Your debts'!$F$8&lt;'Your debts'!$F$12),R41,0)+IF(AND('Your debts'!$F$9&lt;&gt;"",'Your debts'!$F$12&lt;&gt;"",'Your debts'!$F$9&lt;'Your debts'!$F$12),W41,0)+IF(AND('Your debts'!$F$10&lt;&gt;"",'Your debts'!$F$12&lt;&gt;"",'Your debts'!$F$10&lt;'Your debts'!$F$12),AB41,0)+IF(AND('Your debts'!$F$11&lt;&gt;"",'Your debts'!$F$12&lt;&gt;"",'Your debts'!$F$11&lt;'Your debts'!$F$12),AG41,0)+IF(AND('Your debts'!$F$13&lt;&gt;"",'Your debts'!$F$12&lt;&gt;"",'Your debts'!$F$13&lt;'Your debts'!$F$12),AQ41,0)+IF(AND('Your debts'!$F$14&lt;&gt;"",'Your debts'!$F$12&lt;&gt;"",'Your debts'!$F$14&lt;'Your debts'!$F$12),AV41,0)+IF(AND('Your debts'!$F$15&lt;&gt;"",'Your debts'!$F$12&lt;&gt;"",'Your debts'!$F$15&lt;'Your debts'!$F$12),BA41,0)))))</f>
        <v/>
      </c>
      <c r="AN41" s="33">
        <f>AL41-AM41</f>
        <v/>
      </c>
      <c r="AO41" s="33">
        <f>IF(AS40&lt;=0,0,ROUND(AS40*(1+'Your debts'!$D$13/1200),2))</f>
        <v/>
      </c>
      <c r="AP41" s="33">
        <f>IF(AO41&lt;=0,0,MIN('Your debts'!$E$13,AO41))</f>
        <v/>
      </c>
      <c r="AQ41" s="33">
        <f>AO41-AP41</f>
        <v/>
      </c>
      <c r="AR41" s="33">
        <f>IF('Your debts'!$F$13="",0,MIN(AQ41,MAX(0,MAX(0,'Your debts'!$C$19-(G41+L41+Q41+V41+AA41+AF41+AK41+AP41+AU41+AZ41))-(IF(AND('Your debts'!$F$6&lt;&gt;"",'Your debts'!$F$13&lt;&gt;"",'Your debts'!$F$6&lt;'Your debts'!$F$13),H41,0)+IF(AND('Your debts'!$F$7&lt;&gt;"",'Your debts'!$F$13&lt;&gt;"",'Your debts'!$F$7&lt;'Your debts'!$F$13),M41,0)+IF(AND('Your debts'!$F$8&lt;&gt;"",'Your debts'!$F$13&lt;&gt;"",'Your debts'!$F$8&lt;'Your debts'!$F$13),R41,0)+IF(AND('Your debts'!$F$9&lt;&gt;"",'Your debts'!$F$13&lt;&gt;"",'Your debts'!$F$9&lt;'Your debts'!$F$13),W41,0)+IF(AND('Your debts'!$F$10&lt;&gt;"",'Your debts'!$F$13&lt;&gt;"",'Your debts'!$F$10&lt;'Your debts'!$F$13),AB41,0)+IF(AND('Your debts'!$F$11&lt;&gt;"",'Your debts'!$F$13&lt;&gt;"",'Your debts'!$F$11&lt;'Your debts'!$F$13),AG41,0)+IF(AND('Your debts'!$F$12&lt;&gt;"",'Your debts'!$F$13&lt;&gt;"",'Your debts'!$F$12&lt;'Your debts'!$F$13),AL41,0)+IF(AND('Your debts'!$F$14&lt;&gt;"",'Your debts'!$F$13&lt;&gt;"",'Your debts'!$F$14&lt;'Your debts'!$F$13),AV41,0)+IF(AND('Your debts'!$F$15&lt;&gt;"",'Your debts'!$F$13&lt;&gt;"",'Your debts'!$F$15&lt;'Your debts'!$F$13),BA41,0)))))</f>
        <v/>
      </c>
      <c r="AS41" s="33">
        <f>AQ41-AR41</f>
        <v/>
      </c>
      <c r="AT41" s="33">
        <f>IF(AX40&lt;=0,0,ROUND(AX40*(1+'Your debts'!$D$14/1200),2))</f>
        <v/>
      </c>
      <c r="AU41" s="33">
        <f>IF(AT41&lt;=0,0,MIN('Your debts'!$E$14,AT41))</f>
        <v/>
      </c>
      <c r="AV41" s="33">
        <f>AT41-AU41</f>
        <v/>
      </c>
      <c r="AW41" s="33">
        <f>IF('Your debts'!$F$14="",0,MIN(AV41,MAX(0,MAX(0,'Your debts'!$C$19-(G41+L41+Q41+V41+AA41+AF41+AK41+AP41+AU41+AZ41))-(IF(AND('Your debts'!$F$6&lt;&gt;"",'Your debts'!$F$14&lt;&gt;"",'Your debts'!$F$6&lt;'Your debts'!$F$14),H41,0)+IF(AND('Your debts'!$F$7&lt;&gt;"",'Your debts'!$F$14&lt;&gt;"",'Your debts'!$F$7&lt;'Your debts'!$F$14),M41,0)+IF(AND('Your debts'!$F$8&lt;&gt;"",'Your debts'!$F$14&lt;&gt;"",'Your debts'!$F$8&lt;'Your debts'!$F$14),R41,0)+IF(AND('Your debts'!$F$9&lt;&gt;"",'Your debts'!$F$14&lt;&gt;"",'Your debts'!$F$9&lt;'Your debts'!$F$14),W41,0)+IF(AND('Your debts'!$F$10&lt;&gt;"",'Your debts'!$F$14&lt;&gt;"",'Your debts'!$F$10&lt;'Your debts'!$F$14),AB41,0)+IF(AND('Your debts'!$F$11&lt;&gt;"",'Your debts'!$F$14&lt;&gt;"",'Your debts'!$F$11&lt;'Your debts'!$F$14),AG41,0)+IF(AND('Your debts'!$F$12&lt;&gt;"",'Your debts'!$F$14&lt;&gt;"",'Your debts'!$F$12&lt;'Your debts'!$F$14),AL41,0)+IF(AND('Your debts'!$F$13&lt;&gt;"",'Your debts'!$F$14&lt;&gt;"",'Your debts'!$F$13&lt;'Your debts'!$F$14),AQ41,0)+IF(AND('Your debts'!$F$15&lt;&gt;"",'Your debts'!$F$14&lt;&gt;"",'Your debts'!$F$15&lt;'Your debts'!$F$14),BA41,0)))))</f>
        <v/>
      </c>
      <c r="AX41" s="33">
        <f>AV41-AW41</f>
        <v/>
      </c>
      <c r="AY41" s="33">
        <f>IF(BC40&lt;=0,0,ROUND(BC40*(1+'Your debts'!$D$15/1200),2))</f>
        <v/>
      </c>
      <c r="AZ41" s="33">
        <f>IF(AY41&lt;=0,0,MIN('Your debts'!$E$15,AY41))</f>
        <v/>
      </c>
      <c r="BA41" s="33">
        <f>AY41-AZ41</f>
        <v/>
      </c>
      <c r="BB41" s="33">
        <f>IF('Your debts'!$F$15="",0,MIN(BA41,MAX(0,MAX(0,'Your debts'!$C$19-(G41+L41+Q41+V41+AA41+AF41+AK41+AP41+AU41+AZ41))-(IF(AND('Your debts'!$F$6&lt;&gt;"",'Your debts'!$F$15&lt;&gt;"",'Your debts'!$F$6&lt;'Your debts'!$F$15),H41,0)+IF(AND('Your debts'!$F$7&lt;&gt;"",'Your debts'!$F$15&lt;&gt;"",'Your debts'!$F$7&lt;'Your debts'!$F$15),M41,0)+IF(AND('Your debts'!$F$8&lt;&gt;"",'Your debts'!$F$15&lt;&gt;"",'Your debts'!$F$8&lt;'Your debts'!$F$15),R41,0)+IF(AND('Your debts'!$F$9&lt;&gt;"",'Your debts'!$F$15&lt;&gt;"",'Your debts'!$F$9&lt;'Your debts'!$F$15),W41,0)+IF(AND('Your debts'!$F$10&lt;&gt;"",'Your debts'!$F$15&lt;&gt;"",'Your debts'!$F$10&lt;'Your debts'!$F$15),AB41,0)+IF(AND('Your debts'!$F$11&lt;&gt;"",'Your debts'!$F$15&lt;&gt;"",'Your debts'!$F$11&lt;'Your debts'!$F$15),AG41,0)+IF(AND('Your debts'!$F$12&lt;&gt;"",'Your debts'!$F$15&lt;&gt;"",'Your debts'!$F$12&lt;'Your debts'!$F$15),AL41,0)+IF(AND('Your debts'!$F$13&lt;&gt;"",'Your debts'!$F$15&lt;&gt;"",'Your debts'!$F$13&lt;'Your debts'!$F$15),AQ41,0)+IF(AND('Your debts'!$F$14&lt;&gt;"",'Your debts'!$F$15&lt;&gt;"",'Your debts'!$F$14&lt;'Your debts'!$F$15),AV41,0)))))</f>
        <v/>
      </c>
      <c r="BC41" s="33">
        <f>BA41-BB41</f>
        <v/>
      </c>
    </row>
    <row r="42">
      <c r="A42" s="30" t="n">
        <v>27</v>
      </c>
      <c r="B42" s="31">
        <f>EDATE($B$15,27)</f>
        <v/>
      </c>
      <c r="C42" s="32">
        <f>IF(J41&lt;=0,0,F42-J41)+IF(O41&lt;=0,0,K42-O41)+IF(T41&lt;=0,0,P42-T41)+IF(Y41&lt;=0,0,U42-Y41)+IF(AD41&lt;=0,0,Z42-AD41)+IF(AI41&lt;=0,0,AE42-AI41)+IF(AN41&lt;=0,0,AJ42-AN41)+IF(AS41&lt;=0,0,AO42-AS41)+IF(AX41&lt;=0,0,AT42-AX41)+IF(BC41&lt;=0,0,AY42-BC41)</f>
        <v/>
      </c>
      <c r="D42" s="32">
        <f>G42+I42+L42+N42+Q42+S42+V42+X42+AA42+AC42+AF42+AH42+AK42+AM42+AP42+AR42+AU42+AW42+AZ42+BB42</f>
        <v/>
      </c>
      <c r="E42" s="32">
        <f>J42+O42+T42+Y42+AD42+AI42+AN42+AS42+AX42+BC42</f>
        <v/>
      </c>
      <c r="F42" s="33">
        <f>IF(J41&lt;=0,0,ROUND(J41*(1+'Your debts'!$D$6/1200),2))</f>
        <v/>
      </c>
      <c r="G42" s="33">
        <f>IF(F42&lt;=0,0,MIN('Your debts'!$E$6,F42))</f>
        <v/>
      </c>
      <c r="H42" s="33">
        <f>F42-G42</f>
        <v/>
      </c>
      <c r="I42" s="33">
        <f>IF('Your debts'!$F$6="",0,MIN(H42,MAX(0,MAX(0,'Your debts'!$C$19-(G42+L42+Q42+V42+AA42+AF42+AK42+AP42+AU42+AZ42))-(IF(AND('Your debts'!$F$7&lt;&gt;"",'Your debts'!$F$6&lt;&gt;"",'Your debts'!$F$7&lt;'Your debts'!$F$6),M42,0)+IF(AND('Your debts'!$F$8&lt;&gt;"",'Your debts'!$F$6&lt;&gt;"",'Your debts'!$F$8&lt;'Your debts'!$F$6),R42,0)+IF(AND('Your debts'!$F$9&lt;&gt;"",'Your debts'!$F$6&lt;&gt;"",'Your debts'!$F$9&lt;'Your debts'!$F$6),W42,0)+IF(AND('Your debts'!$F$10&lt;&gt;"",'Your debts'!$F$6&lt;&gt;"",'Your debts'!$F$10&lt;'Your debts'!$F$6),AB42,0)+IF(AND('Your debts'!$F$11&lt;&gt;"",'Your debts'!$F$6&lt;&gt;"",'Your debts'!$F$11&lt;'Your debts'!$F$6),AG42,0)+IF(AND('Your debts'!$F$12&lt;&gt;"",'Your debts'!$F$6&lt;&gt;"",'Your debts'!$F$12&lt;'Your debts'!$F$6),AL42,0)+IF(AND('Your debts'!$F$13&lt;&gt;"",'Your debts'!$F$6&lt;&gt;"",'Your debts'!$F$13&lt;'Your debts'!$F$6),AQ42,0)+IF(AND('Your debts'!$F$14&lt;&gt;"",'Your debts'!$F$6&lt;&gt;"",'Your debts'!$F$14&lt;'Your debts'!$F$6),AV42,0)+IF(AND('Your debts'!$F$15&lt;&gt;"",'Your debts'!$F$6&lt;&gt;"",'Your debts'!$F$15&lt;'Your debts'!$F$6),BA42,0)))))</f>
        <v/>
      </c>
      <c r="J42" s="33">
        <f>H42-I42</f>
        <v/>
      </c>
      <c r="K42" s="33">
        <f>IF(O41&lt;=0,0,ROUND(O41*(1+'Your debts'!$D$7/1200),2))</f>
        <v/>
      </c>
      <c r="L42" s="33">
        <f>IF(K42&lt;=0,0,MIN('Your debts'!$E$7,K42))</f>
        <v/>
      </c>
      <c r="M42" s="33">
        <f>K42-L42</f>
        <v/>
      </c>
      <c r="N42" s="33">
        <f>IF('Your debts'!$F$7="",0,MIN(M42,MAX(0,MAX(0,'Your debts'!$C$19-(G42+L42+Q42+V42+AA42+AF42+AK42+AP42+AU42+AZ42))-(IF(AND('Your debts'!$F$6&lt;&gt;"",'Your debts'!$F$7&lt;&gt;"",'Your debts'!$F$6&lt;'Your debts'!$F$7),H42,0)+IF(AND('Your debts'!$F$8&lt;&gt;"",'Your debts'!$F$7&lt;&gt;"",'Your debts'!$F$8&lt;'Your debts'!$F$7),R42,0)+IF(AND('Your debts'!$F$9&lt;&gt;"",'Your debts'!$F$7&lt;&gt;"",'Your debts'!$F$9&lt;'Your debts'!$F$7),W42,0)+IF(AND('Your debts'!$F$10&lt;&gt;"",'Your debts'!$F$7&lt;&gt;"",'Your debts'!$F$10&lt;'Your debts'!$F$7),AB42,0)+IF(AND('Your debts'!$F$11&lt;&gt;"",'Your debts'!$F$7&lt;&gt;"",'Your debts'!$F$11&lt;'Your debts'!$F$7),AG42,0)+IF(AND('Your debts'!$F$12&lt;&gt;"",'Your debts'!$F$7&lt;&gt;"",'Your debts'!$F$12&lt;'Your debts'!$F$7),AL42,0)+IF(AND('Your debts'!$F$13&lt;&gt;"",'Your debts'!$F$7&lt;&gt;"",'Your debts'!$F$13&lt;'Your debts'!$F$7),AQ42,0)+IF(AND('Your debts'!$F$14&lt;&gt;"",'Your debts'!$F$7&lt;&gt;"",'Your debts'!$F$14&lt;'Your debts'!$F$7),AV42,0)+IF(AND('Your debts'!$F$15&lt;&gt;"",'Your debts'!$F$7&lt;&gt;"",'Your debts'!$F$15&lt;'Your debts'!$F$7),BA42,0)))))</f>
        <v/>
      </c>
      <c r="O42" s="33">
        <f>M42-N42</f>
        <v/>
      </c>
      <c r="P42" s="33">
        <f>IF(T41&lt;=0,0,ROUND(T41*(1+'Your debts'!$D$8/1200),2))</f>
        <v/>
      </c>
      <c r="Q42" s="33">
        <f>IF(P42&lt;=0,0,MIN('Your debts'!$E$8,P42))</f>
        <v/>
      </c>
      <c r="R42" s="33">
        <f>P42-Q42</f>
        <v/>
      </c>
      <c r="S42" s="33">
        <f>IF('Your debts'!$F$8="",0,MIN(R42,MAX(0,MAX(0,'Your debts'!$C$19-(G42+L42+Q42+V42+AA42+AF42+AK42+AP42+AU42+AZ42))-(IF(AND('Your debts'!$F$6&lt;&gt;"",'Your debts'!$F$8&lt;&gt;"",'Your debts'!$F$6&lt;'Your debts'!$F$8),H42,0)+IF(AND('Your debts'!$F$7&lt;&gt;"",'Your debts'!$F$8&lt;&gt;"",'Your debts'!$F$7&lt;'Your debts'!$F$8),M42,0)+IF(AND('Your debts'!$F$9&lt;&gt;"",'Your debts'!$F$8&lt;&gt;"",'Your debts'!$F$9&lt;'Your debts'!$F$8),W42,0)+IF(AND('Your debts'!$F$10&lt;&gt;"",'Your debts'!$F$8&lt;&gt;"",'Your debts'!$F$10&lt;'Your debts'!$F$8),AB42,0)+IF(AND('Your debts'!$F$11&lt;&gt;"",'Your debts'!$F$8&lt;&gt;"",'Your debts'!$F$11&lt;'Your debts'!$F$8),AG42,0)+IF(AND('Your debts'!$F$12&lt;&gt;"",'Your debts'!$F$8&lt;&gt;"",'Your debts'!$F$12&lt;'Your debts'!$F$8),AL42,0)+IF(AND('Your debts'!$F$13&lt;&gt;"",'Your debts'!$F$8&lt;&gt;"",'Your debts'!$F$13&lt;'Your debts'!$F$8),AQ42,0)+IF(AND('Your debts'!$F$14&lt;&gt;"",'Your debts'!$F$8&lt;&gt;"",'Your debts'!$F$14&lt;'Your debts'!$F$8),AV42,0)+IF(AND('Your debts'!$F$15&lt;&gt;"",'Your debts'!$F$8&lt;&gt;"",'Your debts'!$F$15&lt;'Your debts'!$F$8),BA42,0)))))</f>
        <v/>
      </c>
      <c r="T42" s="33">
        <f>R42-S42</f>
        <v/>
      </c>
      <c r="U42" s="33">
        <f>IF(Y41&lt;=0,0,ROUND(Y41*(1+'Your debts'!$D$9/1200),2))</f>
        <v/>
      </c>
      <c r="V42" s="33">
        <f>IF(U42&lt;=0,0,MIN('Your debts'!$E$9,U42))</f>
        <v/>
      </c>
      <c r="W42" s="33">
        <f>U42-V42</f>
        <v/>
      </c>
      <c r="X42" s="33">
        <f>IF('Your debts'!$F$9="",0,MIN(W42,MAX(0,MAX(0,'Your debts'!$C$19-(G42+L42+Q42+V42+AA42+AF42+AK42+AP42+AU42+AZ42))-(IF(AND('Your debts'!$F$6&lt;&gt;"",'Your debts'!$F$9&lt;&gt;"",'Your debts'!$F$6&lt;'Your debts'!$F$9),H42,0)+IF(AND('Your debts'!$F$7&lt;&gt;"",'Your debts'!$F$9&lt;&gt;"",'Your debts'!$F$7&lt;'Your debts'!$F$9),M42,0)+IF(AND('Your debts'!$F$8&lt;&gt;"",'Your debts'!$F$9&lt;&gt;"",'Your debts'!$F$8&lt;'Your debts'!$F$9),R42,0)+IF(AND('Your debts'!$F$10&lt;&gt;"",'Your debts'!$F$9&lt;&gt;"",'Your debts'!$F$10&lt;'Your debts'!$F$9),AB42,0)+IF(AND('Your debts'!$F$11&lt;&gt;"",'Your debts'!$F$9&lt;&gt;"",'Your debts'!$F$11&lt;'Your debts'!$F$9),AG42,0)+IF(AND('Your debts'!$F$12&lt;&gt;"",'Your debts'!$F$9&lt;&gt;"",'Your debts'!$F$12&lt;'Your debts'!$F$9),AL42,0)+IF(AND('Your debts'!$F$13&lt;&gt;"",'Your debts'!$F$9&lt;&gt;"",'Your debts'!$F$13&lt;'Your debts'!$F$9),AQ42,0)+IF(AND('Your debts'!$F$14&lt;&gt;"",'Your debts'!$F$9&lt;&gt;"",'Your debts'!$F$14&lt;'Your debts'!$F$9),AV42,0)+IF(AND('Your debts'!$F$15&lt;&gt;"",'Your debts'!$F$9&lt;&gt;"",'Your debts'!$F$15&lt;'Your debts'!$F$9),BA42,0)))))</f>
        <v/>
      </c>
      <c r="Y42" s="33">
        <f>W42-X42</f>
        <v/>
      </c>
      <c r="Z42" s="33">
        <f>IF(AD41&lt;=0,0,ROUND(AD41*(1+'Your debts'!$D$10/1200),2))</f>
        <v/>
      </c>
      <c r="AA42" s="33">
        <f>IF(Z42&lt;=0,0,MIN('Your debts'!$E$10,Z42))</f>
        <v/>
      </c>
      <c r="AB42" s="33">
        <f>Z42-AA42</f>
        <v/>
      </c>
      <c r="AC42" s="33">
        <f>IF('Your debts'!$F$10="",0,MIN(AB42,MAX(0,MAX(0,'Your debts'!$C$19-(G42+L42+Q42+V42+AA42+AF42+AK42+AP42+AU42+AZ42))-(IF(AND('Your debts'!$F$6&lt;&gt;"",'Your debts'!$F$10&lt;&gt;"",'Your debts'!$F$6&lt;'Your debts'!$F$10),H42,0)+IF(AND('Your debts'!$F$7&lt;&gt;"",'Your debts'!$F$10&lt;&gt;"",'Your debts'!$F$7&lt;'Your debts'!$F$10),M42,0)+IF(AND('Your debts'!$F$8&lt;&gt;"",'Your debts'!$F$10&lt;&gt;"",'Your debts'!$F$8&lt;'Your debts'!$F$10),R42,0)+IF(AND('Your debts'!$F$9&lt;&gt;"",'Your debts'!$F$10&lt;&gt;"",'Your debts'!$F$9&lt;'Your debts'!$F$10),W42,0)+IF(AND('Your debts'!$F$11&lt;&gt;"",'Your debts'!$F$10&lt;&gt;"",'Your debts'!$F$11&lt;'Your debts'!$F$10),AG42,0)+IF(AND('Your debts'!$F$12&lt;&gt;"",'Your debts'!$F$10&lt;&gt;"",'Your debts'!$F$12&lt;'Your debts'!$F$10),AL42,0)+IF(AND('Your debts'!$F$13&lt;&gt;"",'Your debts'!$F$10&lt;&gt;"",'Your debts'!$F$13&lt;'Your debts'!$F$10),AQ42,0)+IF(AND('Your debts'!$F$14&lt;&gt;"",'Your debts'!$F$10&lt;&gt;"",'Your debts'!$F$14&lt;'Your debts'!$F$10),AV42,0)+IF(AND('Your debts'!$F$15&lt;&gt;"",'Your debts'!$F$10&lt;&gt;"",'Your debts'!$F$15&lt;'Your debts'!$F$10),BA42,0)))))</f>
        <v/>
      </c>
      <c r="AD42" s="33">
        <f>AB42-AC42</f>
        <v/>
      </c>
      <c r="AE42" s="33">
        <f>IF(AI41&lt;=0,0,ROUND(AI41*(1+'Your debts'!$D$11/1200),2))</f>
        <v/>
      </c>
      <c r="AF42" s="33">
        <f>IF(AE42&lt;=0,0,MIN('Your debts'!$E$11,AE42))</f>
        <v/>
      </c>
      <c r="AG42" s="33">
        <f>AE42-AF42</f>
        <v/>
      </c>
      <c r="AH42" s="33">
        <f>IF('Your debts'!$F$11="",0,MIN(AG42,MAX(0,MAX(0,'Your debts'!$C$19-(G42+L42+Q42+V42+AA42+AF42+AK42+AP42+AU42+AZ42))-(IF(AND('Your debts'!$F$6&lt;&gt;"",'Your debts'!$F$11&lt;&gt;"",'Your debts'!$F$6&lt;'Your debts'!$F$11),H42,0)+IF(AND('Your debts'!$F$7&lt;&gt;"",'Your debts'!$F$11&lt;&gt;"",'Your debts'!$F$7&lt;'Your debts'!$F$11),M42,0)+IF(AND('Your debts'!$F$8&lt;&gt;"",'Your debts'!$F$11&lt;&gt;"",'Your debts'!$F$8&lt;'Your debts'!$F$11),R42,0)+IF(AND('Your debts'!$F$9&lt;&gt;"",'Your debts'!$F$11&lt;&gt;"",'Your debts'!$F$9&lt;'Your debts'!$F$11),W42,0)+IF(AND('Your debts'!$F$10&lt;&gt;"",'Your debts'!$F$11&lt;&gt;"",'Your debts'!$F$10&lt;'Your debts'!$F$11),AB42,0)+IF(AND('Your debts'!$F$12&lt;&gt;"",'Your debts'!$F$11&lt;&gt;"",'Your debts'!$F$12&lt;'Your debts'!$F$11),AL42,0)+IF(AND('Your debts'!$F$13&lt;&gt;"",'Your debts'!$F$11&lt;&gt;"",'Your debts'!$F$13&lt;'Your debts'!$F$11),AQ42,0)+IF(AND('Your debts'!$F$14&lt;&gt;"",'Your debts'!$F$11&lt;&gt;"",'Your debts'!$F$14&lt;'Your debts'!$F$11),AV42,0)+IF(AND('Your debts'!$F$15&lt;&gt;"",'Your debts'!$F$11&lt;&gt;"",'Your debts'!$F$15&lt;'Your debts'!$F$11),BA42,0)))))</f>
        <v/>
      </c>
      <c r="AI42" s="33">
        <f>AG42-AH42</f>
        <v/>
      </c>
      <c r="AJ42" s="33">
        <f>IF(AN41&lt;=0,0,ROUND(AN41*(1+'Your debts'!$D$12/1200),2))</f>
        <v/>
      </c>
      <c r="AK42" s="33">
        <f>IF(AJ42&lt;=0,0,MIN('Your debts'!$E$12,AJ42))</f>
        <v/>
      </c>
      <c r="AL42" s="33">
        <f>AJ42-AK42</f>
        <v/>
      </c>
      <c r="AM42" s="33">
        <f>IF('Your debts'!$F$12="",0,MIN(AL42,MAX(0,MAX(0,'Your debts'!$C$19-(G42+L42+Q42+V42+AA42+AF42+AK42+AP42+AU42+AZ42))-(IF(AND('Your debts'!$F$6&lt;&gt;"",'Your debts'!$F$12&lt;&gt;"",'Your debts'!$F$6&lt;'Your debts'!$F$12),H42,0)+IF(AND('Your debts'!$F$7&lt;&gt;"",'Your debts'!$F$12&lt;&gt;"",'Your debts'!$F$7&lt;'Your debts'!$F$12),M42,0)+IF(AND('Your debts'!$F$8&lt;&gt;"",'Your debts'!$F$12&lt;&gt;"",'Your debts'!$F$8&lt;'Your debts'!$F$12),R42,0)+IF(AND('Your debts'!$F$9&lt;&gt;"",'Your debts'!$F$12&lt;&gt;"",'Your debts'!$F$9&lt;'Your debts'!$F$12),W42,0)+IF(AND('Your debts'!$F$10&lt;&gt;"",'Your debts'!$F$12&lt;&gt;"",'Your debts'!$F$10&lt;'Your debts'!$F$12),AB42,0)+IF(AND('Your debts'!$F$11&lt;&gt;"",'Your debts'!$F$12&lt;&gt;"",'Your debts'!$F$11&lt;'Your debts'!$F$12),AG42,0)+IF(AND('Your debts'!$F$13&lt;&gt;"",'Your debts'!$F$12&lt;&gt;"",'Your debts'!$F$13&lt;'Your debts'!$F$12),AQ42,0)+IF(AND('Your debts'!$F$14&lt;&gt;"",'Your debts'!$F$12&lt;&gt;"",'Your debts'!$F$14&lt;'Your debts'!$F$12),AV42,0)+IF(AND('Your debts'!$F$15&lt;&gt;"",'Your debts'!$F$12&lt;&gt;"",'Your debts'!$F$15&lt;'Your debts'!$F$12),BA42,0)))))</f>
        <v/>
      </c>
      <c r="AN42" s="33">
        <f>AL42-AM42</f>
        <v/>
      </c>
      <c r="AO42" s="33">
        <f>IF(AS41&lt;=0,0,ROUND(AS41*(1+'Your debts'!$D$13/1200),2))</f>
        <v/>
      </c>
      <c r="AP42" s="33">
        <f>IF(AO42&lt;=0,0,MIN('Your debts'!$E$13,AO42))</f>
        <v/>
      </c>
      <c r="AQ42" s="33">
        <f>AO42-AP42</f>
        <v/>
      </c>
      <c r="AR42" s="33">
        <f>IF('Your debts'!$F$13="",0,MIN(AQ42,MAX(0,MAX(0,'Your debts'!$C$19-(G42+L42+Q42+V42+AA42+AF42+AK42+AP42+AU42+AZ42))-(IF(AND('Your debts'!$F$6&lt;&gt;"",'Your debts'!$F$13&lt;&gt;"",'Your debts'!$F$6&lt;'Your debts'!$F$13),H42,0)+IF(AND('Your debts'!$F$7&lt;&gt;"",'Your debts'!$F$13&lt;&gt;"",'Your debts'!$F$7&lt;'Your debts'!$F$13),M42,0)+IF(AND('Your debts'!$F$8&lt;&gt;"",'Your debts'!$F$13&lt;&gt;"",'Your debts'!$F$8&lt;'Your debts'!$F$13),R42,0)+IF(AND('Your debts'!$F$9&lt;&gt;"",'Your debts'!$F$13&lt;&gt;"",'Your debts'!$F$9&lt;'Your debts'!$F$13),W42,0)+IF(AND('Your debts'!$F$10&lt;&gt;"",'Your debts'!$F$13&lt;&gt;"",'Your debts'!$F$10&lt;'Your debts'!$F$13),AB42,0)+IF(AND('Your debts'!$F$11&lt;&gt;"",'Your debts'!$F$13&lt;&gt;"",'Your debts'!$F$11&lt;'Your debts'!$F$13),AG42,0)+IF(AND('Your debts'!$F$12&lt;&gt;"",'Your debts'!$F$13&lt;&gt;"",'Your debts'!$F$12&lt;'Your debts'!$F$13),AL42,0)+IF(AND('Your debts'!$F$14&lt;&gt;"",'Your debts'!$F$13&lt;&gt;"",'Your debts'!$F$14&lt;'Your debts'!$F$13),AV42,0)+IF(AND('Your debts'!$F$15&lt;&gt;"",'Your debts'!$F$13&lt;&gt;"",'Your debts'!$F$15&lt;'Your debts'!$F$13),BA42,0)))))</f>
        <v/>
      </c>
      <c r="AS42" s="33">
        <f>AQ42-AR42</f>
        <v/>
      </c>
      <c r="AT42" s="33">
        <f>IF(AX41&lt;=0,0,ROUND(AX41*(1+'Your debts'!$D$14/1200),2))</f>
        <v/>
      </c>
      <c r="AU42" s="33">
        <f>IF(AT42&lt;=0,0,MIN('Your debts'!$E$14,AT42))</f>
        <v/>
      </c>
      <c r="AV42" s="33">
        <f>AT42-AU42</f>
        <v/>
      </c>
      <c r="AW42" s="33">
        <f>IF('Your debts'!$F$14="",0,MIN(AV42,MAX(0,MAX(0,'Your debts'!$C$19-(G42+L42+Q42+V42+AA42+AF42+AK42+AP42+AU42+AZ42))-(IF(AND('Your debts'!$F$6&lt;&gt;"",'Your debts'!$F$14&lt;&gt;"",'Your debts'!$F$6&lt;'Your debts'!$F$14),H42,0)+IF(AND('Your debts'!$F$7&lt;&gt;"",'Your debts'!$F$14&lt;&gt;"",'Your debts'!$F$7&lt;'Your debts'!$F$14),M42,0)+IF(AND('Your debts'!$F$8&lt;&gt;"",'Your debts'!$F$14&lt;&gt;"",'Your debts'!$F$8&lt;'Your debts'!$F$14),R42,0)+IF(AND('Your debts'!$F$9&lt;&gt;"",'Your debts'!$F$14&lt;&gt;"",'Your debts'!$F$9&lt;'Your debts'!$F$14),W42,0)+IF(AND('Your debts'!$F$10&lt;&gt;"",'Your debts'!$F$14&lt;&gt;"",'Your debts'!$F$10&lt;'Your debts'!$F$14),AB42,0)+IF(AND('Your debts'!$F$11&lt;&gt;"",'Your debts'!$F$14&lt;&gt;"",'Your debts'!$F$11&lt;'Your debts'!$F$14),AG42,0)+IF(AND('Your debts'!$F$12&lt;&gt;"",'Your debts'!$F$14&lt;&gt;"",'Your debts'!$F$12&lt;'Your debts'!$F$14),AL42,0)+IF(AND('Your debts'!$F$13&lt;&gt;"",'Your debts'!$F$14&lt;&gt;"",'Your debts'!$F$13&lt;'Your debts'!$F$14),AQ42,0)+IF(AND('Your debts'!$F$15&lt;&gt;"",'Your debts'!$F$14&lt;&gt;"",'Your debts'!$F$15&lt;'Your debts'!$F$14),BA42,0)))))</f>
        <v/>
      </c>
      <c r="AX42" s="33">
        <f>AV42-AW42</f>
        <v/>
      </c>
      <c r="AY42" s="33">
        <f>IF(BC41&lt;=0,0,ROUND(BC41*(1+'Your debts'!$D$15/1200),2))</f>
        <v/>
      </c>
      <c r="AZ42" s="33">
        <f>IF(AY42&lt;=0,0,MIN('Your debts'!$E$15,AY42))</f>
        <v/>
      </c>
      <c r="BA42" s="33">
        <f>AY42-AZ42</f>
        <v/>
      </c>
      <c r="BB42" s="33">
        <f>IF('Your debts'!$F$15="",0,MIN(BA42,MAX(0,MAX(0,'Your debts'!$C$19-(G42+L42+Q42+V42+AA42+AF42+AK42+AP42+AU42+AZ42))-(IF(AND('Your debts'!$F$6&lt;&gt;"",'Your debts'!$F$15&lt;&gt;"",'Your debts'!$F$6&lt;'Your debts'!$F$15),H42,0)+IF(AND('Your debts'!$F$7&lt;&gt;"",'Your debts'!$F$15&lt;&gt;"",'Your debts'!$F$7&lt;'Your debts'!$F$15),M42,0)+IF(AND('Your debts'!$F$8&lt;&gt;"",'Your debts'!$F$15&lt;&gt;"",'Your debts'!$F$8&lt;'Your debts'!$F$15),R42,0)+IF(AND('Your debts'!$F$9&lt;&gt;"",'Your debts'!$F$15&lt;&gt;"",'Your debts'!$F$9&lt;'Your debts'!$F$15),W42,0)+IF(AND('Your debts'!$F$10&lt;&gt;"",'Your debts'!$F$15&lt;&gt;"",'Your debts'!$F$10&lt;'Your debts'!$F$15),AB42,0)+IF(AND('Your debts'!$F$11&lt;&gt;"",'Your debts'!$F$15&lt;&gt;"",'Your debts'!$F$11&lt;'Your debts'!$F$15),AG42,0)+IF(AND('Your debts'!$F$12&lt;&gt;"",'Your debts'!$F$15&lt;&gt;"",'Your debts'!$F$12&lt;'Your debts'!$F$15),AL42,0)+IF(AND('Your debts'!$F$13&lt;&gt;"",'Your debts'!$F$15&lt;&gt;"",'Your debts'!$F$13&lt;'Your debts'!$F$15),AQ42,0)+IF(AND('Your debts'!$F$14&lt;&gt;"",'Your debts'!$F$15&lt;&gt;"",'Your debts'!$F$14&lt;'Your debts'!$F$15),AV42,0)))))</f>
        <v/>
      </c>
      <c r="BC42" s="33">
        <f>BA42-BB42</f>
        <v/>
      </c>
    </row>
    <row r="43">
      <c r="A43" s="30" t="n">
        <v>28</v>
      </c>
      <c r="B43" s="31">
        <f>EDATE($B$15,28)</f>
        <v/>
      </c>
      <c r="C43" s="32">
        <f>IF(J42&lt;=0,0,F43-J42)+IF(O42&lt;=0,0,K43-O42)+IF(T42&lt;=0,0,P43-T42)+IF(Y42&lt;=0,0,U43-Y42)+IF(AD42&lt;=0,0,Z43-AD42)+IF(AI42&lt;=0,0,AE43-AI42)+IF(AN42&lt;=0,0,AJ43-AN42)+IF(AS42&lt;=0,0,AO43-AS42)+IF(AX42&lt;=0,0,AT43-AX42)+IF(BC42&lt;=0,0,AY43-BC42)</f>
        <v/>
      </c>
      <c r="D43" s="32">
        <f>G43+I43+L43+N43+Q43+S43+V43+X43+AA43+AC43+AF43+AH43+AK43+AM43+AP43+AR43+AU43+AW43+AZ43+BB43</f>
        <v/>
      </c>
      <c r="E43" s="32">
        <f>J43+O43+T43+Y43+AD43+AI43+AN43+AS43+AX43+BC43</f>
        <v/>
      </c>
      <c r="F43" s="33">
        <f>IF(J42&lt;=0,0,ROUND(J42*(1+'Your debts'!$D$6/1200),2))</f>
        <v/>
      </c>
      <c r="G43" s="33">
        <f>IF(F43&lt;=0,0,MIN('Your debts'!$E$6,F43))</f>
        <v/>
      </c>
      <c r="H43" s="33">
        <f>F43-G43</f>
        <v/>
      </c>
      <c r="I43" s="33">
        <f>IF('Your debts'!$F$6="",0,MIN(H43,MAX(0,MAX(0,'Your debts'!$C$19-(G43+L43+Q43+V43+AA43+AF43+AK43+AP43+AU43+AZ43))-(IF(AND('Your debts'!$F$7&lt;&gt;"",'Your debts'!$F$6&lt;&gt;"",'Your debts'!$F$7&lt;'Your debts'!$F$6),M43,0)+IF(AND('Your debts'!$F$8&lt;&gt;"",'Your debts'!$F$6&lt;&gt;"",'Your debts'!$F$8&lt;'Your debts'!$F$6),R43,0)+IF(AND('Your debts'!$F$9&lt;&gt;"",'Your debts'!$F$6&lt;&gt;"",'Your debts'!$F$9&lt;'Your debts'!$F$6),W43,0)+IF(AND('Your debts'!$F$10&lt;&gt;"",'Your debts'!$F$6&lt;&gt;"",'Your debts'!$F$10&lt;'Your debts'!$F$6),AB43,0)+IF(AND('Your debts'!$F$11&lt;&gt;"",'Your debts'!$F$6&lt;&gt;"",'Your debts'!$F$11&lt;'Your debts'!$F$6),AG43,0)+IF(AND('Your debts'!$F$12&lt;&gt;"",'Your debts'!$F$6&lt;&gt;"",'Your debts'!$F$12&lt;'Your debts'!$F$6),AL43,0)+IF(AND('Your debts'!$F$13&lt;&gt;"",'Your debts'!$F$6&lt;&gt;"",'Your debts'!$F$13&lt;'Your debts'!$F$6),AQ43,0)+IF(AND('Your debts'!$F$14&lt;&gt;"",'Your debts'!$F$6&lt;&gt;"",'Your debts'!$F$14&lt;'Your debts'!$F$6),AV43,0)+IF(AND('Your debts'!$F$15&lt;&gt;"",'Your debts'!$F$6&lt;&gt;"",'Your debts'!$F$15&lt;'Your debts'!$F$6),BA43,0)))))</f>
        <v/>
      </c>
      <c r="J43" s="33">
        <f>H43-I43</f>
        <v/>
      </c>
      <c r="K43" s="33">
        <f>IF(O42&lt;=0,0,ROUND(O42*(1+'Your debts'!$D$7/1200),2))</f>
        <v/>
      </c>
      <c r="L43" s="33">
        <f>IF(K43&lt;=0,0,MIN('Your debts'!$E$7,K43))</f>
        <v/>
      </c>
      <c r="M43" s="33">
        <f>K43-L43</f>
        <v/>
      </c>
      <c r="N43" s="33">
        <f>IF('Your debts'!$F$7="",0,MIN(M43,MAX(0,MAX(0,'Your debts'!$C$19-(G43+L43+Q43+V43+AA43+AF43+AK43+AP43+AU43+AZ43))-(IF(AND('Your debts'!$F$6&lt;&gt;"",'Your debts'!$F$7&lt;&gt;"",'Your debts'!$F$6&lt;'Your debts'!$F$7),H43,0)+IF(AND('Your debts'!$F$8&lt;&gt;"",'Your debts'!$F$7&lt;&gt;"",'Your debts'!$F$8&lt;'Your debts'!$F$7),R43,0)+IF(AND('Your debts'!$F$9&lt;&gt;"",'Your debts'!$F$7&lt;&gt;"",'Your debts'!$F$9&lt;'Your debts'!$F$7),W43,0)+IF(AND('Your debts'!$F$10&lt;&gt;"",'Your debts'!$F$7&lt;&gt;"",'Your debts'!$F$10&lt;'Your debts'!$F$7),AB43,0)+IF(AND('Your debts'!$F$11&lt;&gt;"",'Your debts'!$F$7&lt;&gt;"",'Your debts'!$F$11&lt;'Your debts'!$F$7),AG43,0)+IF(AND('Your debts'!$F$12&lt;&gt;"",'Your debts'!$F$7&lt;&gt;"",'Your debts'!$F$12&lt;'Your debts'!$F$7),AL43,0)+IF(AND('Your debts'!$F$13&lt;&gt;"",'Your debts'!$F$7&lt;&gt;"",'Your debts'!$F$13&lt;'Your debts'!$F$7),AQ43,0)+IF(AND('Your debts'!$F$14&lt;&gt;"",'Your debts'!$F$7&lt;&gt;"",'Your debts'!$F$14&lt;'Your debts'!$F$7),AV43,0)+IF(AND('Your debts'!$F$15&lt;&gt;"",'Your debts'!$F$7&lt;&gt;"",'Your debts'!$F$15&lt;'Your debts'!$F$7),BA43,0)))))</f>
        <v/>
      </c>
      <c r="O43" s="33">
        <f>M43-N43</f>
        <v/>
      </c>
      <c r="P43" s="33">
        <f>IF(T42&lt;=0,0,ROUND(T42*(1+'Your debts'!$D$8/1200),2))</f>
        <v/>
      </c>
      <c r="Q43" s="33">
        <f>IF(P43&lt;=0,0,MIN('Your debts'!$E$8,P43))</f>
        <v/>
      </c>
      <c r="R43" s="33">
        <f>P43-Q43</f>
        <v/>
      </c>
      <c r="S43" s="33">
        <f>IF('Your debts'!$F$8="",0,MIN(R43,MAX(0,MAX(0,'Your debts'!$C$19-(G43+L43+Q43+V43+AA43+AF43+AK43+AP43+AU43+AZ43))-(IF(AND('Your debts'!$F$6&lt;&gt;"",'Your debts'!$F$8&lt;&gt;"",'Your debts'!$F$6&lt;'Your debts'!$F$8),H43,0)+IF(AND('Your debts'!$F$7&lt;&gt;"",'Your debts'!$F$8&lt;&gt;"",'Your debts'!$F$7&lt;'Your debts'!$F$8),M43,0)+IF(AND('Your debts'!$F$9&lt;&gt;"",'Your debts'!$F$8&lt;&gt;"",'Your debts'!$F$9&lt;'Your debts'!$F$8),W43,0)+IF(AND('Your debts'!$F$10&lt;&gt;"",'Your debts'!$F$8&lt;&gt;"",'Your debts'!$F$10&lt;'Your debts'!$F$8),AB43,0)+IF(AND('Your debts'!$F$11&lt;&gt;"",'Your debts'!$F$8&lt;&gt;"",'Your debts'!$F$11&lt;'Your debts'!$F$8),AG43,0)+IF(AND('Your debts'!$F$12&lt;&gt;"",'Your debts'!$F$8&lt;&gt;"",'Your debts'!$F$12&lt;'Your debts'!$F$8),AL43,0)+IF(AND('Your debts'!$F$13&lt;&gt;"",'Your debts'!$F$8&lt;&gt;"",'Your debts'!$F$13&lt;'Your debts'!$F$8),AQ43,0)+IF(AND('Your debts'!$F$14&lt;&gt;"",'Your debts'!$F$8&lt;&gt;"",'Your debts'!$F$14&lt;'Your debts'!$F$8),AV43,0)+IF(AND('Your debts'!$F$15&lt;&gt;"",'Your debts'!$F$8&lt;&gt;"",'Your debts'!$F$15&lt;'Your debts'!$F$8),BA43,0)))))</f>
        <v/>
      </c>
      <c r="T43" s="33">
        <f>R43-S43</f>
        <v/>
      </c>
      <c r="U43" s="33">
        <f>IF(Y42&lt;=0,0,ROUND(Y42*(1+'Your debts'!$D$9/1200),2))</f>
        <v/>
      </c>
      <c r="V43" s="33">
        <f>IF(U43&lt;=0,0,MIN('Your debts'!$E$9,U43))</f>
        <v/>
      </c>
      <c r="W43" s="33">
        <f>U43-V43</f>
        <v/>
      </c>
      <c r="X43" s="33">
        <f>IF('Your debts'!$F$9="",0,MIN(W43,MAX(0,MAX(0,'Your debts'!$C$19-(G43+L43+Q43+V43+AA43+AF43+AK43+AP43+AU43+AZ43))-(IF(AND('Your debts'!$F$6&lt;&gt;"",'Your debts'!$F$9&lt;&gt;"",'Your debts'!$F$6&lt;'Your debts'!$F$9),H43,0)+IF(AND('Your debts'!$F$7&lt;&gt;"",'Your debts'!$F$9&lt;&gt;"",'Your debts'!$F$7&lt;'Your debts'!$F$9),M43,0)+IF(AND('Your debts'!$F$8&lt;&gt;"",'Your debts'!$F$9&lt;&gt;"",'Your debts'!$F$8&lt;'Your debts'!$F$9),R43,0)+IF(AND('Your debts'!$F$10&lt;&gt;"",'Your debts'!$F$9&lt;&gt;"",'Your debts'!$F$10&lt;'Your debts'!$F$9),AB43,0)+IF(AND('Your debts'!$F$11&lt;&gt;"",'Your debts'!$F$9&lt;&gt;"",'Your debts'!$F$11&lt;'Your debts'!$F$9),AG43,0)+IF(AND('Your debts'!$F$12&lt;&gt;"",'Your debts'!$F$9&lt;&gt;"",'Your debts'!$F$12&lt;'Your debts'!$F$9),AL43,0)+IF(AND('Your debts'!$F$13&lt;&gt;"",'Your debts'!$F$9&lt;&gt;"",'Your debts'!$F$13&lt;'Your debts'!$F$9),AQ43,0)+IF(AND('Your debts'!$F$14&lt;&gt;"",'Your debts'!$F$9&lt;&gt;"",'Your debts'!$F$14&lt;'Your debts'!$F$9),AV43,0)+IF(AND('Your debts'!$F$15&lt;&gt;"",'Your debts'!$F$9&lt;&gt;"",'Your debts'!$F$15&lt;'Your debts'!$F$9),BA43,0)))))</f>
        <v/>
      </c>
      <c r="Y43" s="33">
        <f>W43-X43</f>
        <v/>
      </c>
      <c r="Z43" s="33">
        <f>IF(AD42&lt;=0,0,ROUND(AD42*(1+'Your debts'!$D$10/1200),2))</f>
        <v/>
      </c>
      <c r="AA43" s="33">
        <f>IF(Z43&lt;=0,0,MIN('Your debts'!$E$10,Z43))</f>
        <v/>
      </c>
      <c r="AB43" s="33">
        <f>Z43-AA43</f>
        <v/>
      </c>
      <c r="AC43" s="33">
        <f>IF('Your debts'!$F$10="",0,MIN(AB43,MAX(0,MAX(0,'Your debts'!$C$19-(G43+L43+Q43+V43+AA43+AF43+AK43+AP43+AU43+AZ43))-(IF(AND('Your debts'!$F$6&lt;&gt;"",'Your debts'!$F$10&lt;&gt;"",'Your debts'!$F$6&lt;'Your debts'!$F$10),H43,0)+IF(AND('Your debts'!$F$7&lt;&gt;"",'Your debts'!$F$10&lt;&gt;"",'Your debts'!$F$7&lt;'Your debts'!$F$10),M43,0)+IF(AND('Your debts'!$F$8&lt;&gt;"",'Your debts'!$F$10&lt;&gt;"",'Your debts'!$F$8&lt;'Your debts'!$F$10),R43,0)+IF(AND('Your debts'!$F$9&lt;&gt;"",'Your debts'!$F$10&lt;&gt;"",'Your debts'!$F$9&lt;'Your debts'!$F$10),W43,0)+IF(AND('Your debts'!$F$11&lt;&gt;"",'Your debts'!$F$10&lt;&gt;"",'Your debts'!$F$11&lt;'Your debts'!$F$10),AG43,0)+IF(AND('Your debts'!$F$12&lt;&gt;"",'Your debts'!$F$10&lt;&gt;"",'Your debts'!$F$12&lt;'Your debts'!$F$10),AL43,0)+IF(AND('Your debts'!$F$13&lt;&gt;"",'Your debts'!$F$10&lt;&gt;"",'Your debts'!$F$13&lt;'Your debts'!$F$10),AQ43,0)+IF(AND('Your debts'!$F$14&lt;&gt;"",'Your debts'!$F$10&lt;&gt;"",'Your debts'!$F$14&lt;'Your debts'!$F$10),AV43,0)+IF(AND('Your debts'!$F$15&lt;&gt;"",'Your debts'!$F$10&lt;&gt;"",'Your debts'!$F$15&lt;'Your debts'!$F$10),BA43,0)))))</f>
        <v/>
      </c>
      <c r="AD43" s="33">
        <f>AB43-AC43</f>
        <v/>
      </c>
      <c r="AE43" s="33">
        <f>IF(AI42&lt;=0,0,ROUND(AI42*(1+'Your debts'!$D$11/1200),2))</f>
        <v/>
      </c>
      <c r="AF43" s="33">
        <f>IF(AE43&lt;=0,0,MIN('Your debts'!$E$11,AE43))</f>
        <v/>
      </c>
      <c r="AG43" s="33">
        <f>AE43-AF43</f>
        <v/>
      </c>
      <c r="AH43" s="33">
        <f>IF('Your debts'!$F$11="",0,MIN(AG43,MAX(0,MAX(0,'Your debts'!$C$19-(G43+L43+Q43+V43+AA43+AF43+AK43+AP43+AU43+AZ43))-(IF(AND('Your debts'!$F$6&lt;&gt;"",'Your debts'!$F$11&lt;&gt;"",'Your debts'!$F$6&lt;'Your debts'!$F$11),H43,0)+IF(AND('Your debts'!$F$7&lt;&gt;"",'Your debts'!$F$11&lt;&gt;"",'Your debts'!$F$7&lt;'Your debts'!$F$11),M43,0)+IF(AND('Your debts'!$F$8&lt;&gt;"",'Your debts'!$F$11&lt;&gt;"",'Your debts'!$F$8&lt;'Your debts'!$F$11),R43,0)+IF(AND('Your debts'!$F$9&lt;&gt;"",'Your debts'!$F$11&lt;&gt;"",'Your debts'!$F$9&lt;'Your debts'!$F$11),W43,0)+IF(AND('Your debts'!$F$10&lt;&gt;"",'Your debts'!$F$11&lt;&gt;"",'Your debts'!$F$10&lt;'Your debts'!$F$11),AB43,0)+IF(AND('Your debts'!$F$12&lt;&gt;"",'Your debts'!$F$11&lt;&gt;"",'Your debts'!$F$12&lt;'Your debts'!$F$11),AL43,0)+IF(AND('Your debts'!$F$13&lt;&gt;"",'Your debts'!$F$11&lt;&gt;"",'Your debts'!$F$13&lt;'Your debts'!$F$11),AQ43,0)+IF(AND('Your debts'!$F$14&lt;&gt;"",'Your debts'!$F$11&lt;&gt;"",'Your debts'!$F$14&lt;'Your debts'!$F$11),AV43,0)+IF(AND('Your debts'!$F$15&lt;&gt;"",'Your debts'!$F$11&lt;&gt;"",'Your debts'!$F$15&lt;'Your debts'!$F$11),BA43,0)))))</f>
        <v/>
      </c>
      <c r="AI43" s="33">
        <f>AG43-AH43</f>
        <v/>
      </c>
      <c r="AJ43" s="33">
        <f>IF(AN42&lt;=0,0,ROUND(AN42*(1+'Your debts'!$D$12/1200),2))</f>
        <v/>
      </c>
      <c r="AK43" s="33">
        <f>IF(AJ43&lt;=0,0,MIN('Your debts'!$E$12,AJ43))</f>
        <v/>
      </c>
      <c r="AL43" s="33">
        <f>AJ43-AK43</f>
        <v/>
      </c>
      <c r="AM43" s="33">
        <f>IF('Your debts'!$F$12="",0,MIN(AL43,MAX(0,MAX(0,'Your debts'!$C$19-(G43+L43+Q43+V43+AA43+AF43+AK43+AP43+AU43+AZ43))-(IF(AND('Your debts'!$F$6&lt;&gt;"",'Your debts'!$F$12&lt;&gt;"",'Your debts'!$F$6&lt;'Your debts'!$F$12),H43,0)+IF(AND('Your debts'!$F$7&lt;&gt;"",'Your debts'!$F$12&lt;&gt;"",'Your debts'!$F$7&lt;'Your debts'!$F$12),M43,0)+IF(AND('Your debts'!$F$8&lt;&gt;"",'Your debts'!$F$12&lt;&gt;"",'Your debts'!$F$8&lt;'Your debts'!$F$12),R43,0)+IF(AND('Your debts'!$F$9&lt;&gt;"",'Your debts'!$F$12&lt;&gt;"",'Your debts'!$F$9&lt;'Your debts'!$F$12),W43,0)+IF(AND('Your debts'!$F$10&lt;&gt;"",'Your debts'!$F$12&lt;&gt;"",'Your debts'!$F$10&lt;'Your debts'!$F$12),AB43,0)+IF(AND('Your debts'!$F$11&lt;&gt;"",'Your debts'!$F$12&lt;&gt;"",'Your debts'!$F$11&lt;'Your debts'!$F$12),AG43,0)+IF(AND('Your debts'!$F$13&lt;&gt;"",'Your debts'!$F$12&lt;&gt;"",'Your debts'!$F$13&lt;'Your debts'!$F$12),AQ43,0)+IF(AND('Your debts'!$F$14&lt;&gt;"",'Your debts'!$F$12&lt;&gt;"",'Your debts'!$F$14&lt;'Your debts'!$F$12),AV43,0)+IF(AND('Your debts'!$F$15&lt;&gt;"",'Your debts'!$F$12&lt;&gt;"",'Your debts'!$F$15&lt;'Your debts'!$F$12),BA43,0)))))</f>
        <v/>
      </c>
      <c r="AN43" s="33">
        <f>AL43-AM43</f>
        <v/>
      </c>
      <c r="AO43" s="33">
        <f>IF(AS42&lt;=0,0,ROUND(AS42*(1+'Your debts'!$D$13/1200),2))</f>
        <v/>
      </c>
      <c r="AP43" s="33">
        <f>IF(AO43&lt;=0,0,MIN('Your debts'!$E$13,AO43))</f>
        <v/>
      </c>
      <c r="AQ43" s="33">
        <f>AO43-AP43</f>
        <v/>
      </c>
      <c r="AR43" s="33">
        <f>IF('Your debts'!$F$13="",0,MIN(AQ43,MAX(0,MAX(0,'Your debts'!$C$19-(G43+L43+Q43+V43+AA43+AF43+AK43+AP43+AU43+AZ43))-(IF(AND('Your debts'!$F$6&lt;&gt;"",'Your debts'!$F$13&lt;&gt;"",'Your debts'!$F$6&lt;'Your debts'!$F$13),H43,0)+IF(AND('Your debts'!$F$7&lt;&gt;"",'Your debts'!$F$13&lt;&gt;"",'Your debts'!$F$7&lt;'Your debts'!$F$13),M43,0)+IF(AND('Your debts'!$F$8&lt;&gt;"",'Your debts'!$F$13&lt;&gt;"",'Your debts'!$F$8&lt;'Your debts'!$F$13),R43,0)+IF(AND('Your debts'!$F$9&lt;&gt;"",'Your debts'!$F$13&lt;&gt;"",'Your debts'!$F$9&lt;'Your debts'!$F$13),W43,0)+IF(AND('Your debts'!$F$10&lt;&gt;"",'Your debts'!$F$13&lt;&gt;"",'Your debts'!$F$10&lt;'Your debts'!$F$13),AB43,0)+IF(AND('Your debts'!$F$11&lt;&gt;"",'Your debts'!$F$13&lt;&gt;"",'Your debts'!$F$11&lt;'Your debts'!$F$13),AG43,0)+IF(AND('Your debts'!$F$12&lt;&gt;"",'Your debts'!$F$13&lt;&gt;"",'Your debts'!$F$12&lt;'Your debts'!$F$13),AL43,0)+IF(AND('Your debts'!$F$14&lt;&gt;"",'Your debts'!$F$13&lt;&gt;"",'Your debts'!$F$14&lt;'Your debts'!$F$13),AV43,0)+IF(AND('Your debts'!$F$15&lt;&gt;"",'Your debts'!$F$13&lt;&gt;"",'Your debts'!$F$15&lt;'Your debts'!$F$13),BA43,0)))))</f>
        <v/>
      </c>
      <c r="AS43" s="33">
        <f>AQ43-AR43</f>
        <v/>
      </c>
      <c r="AT43" s="33">
        <f>IF(AX42&lt;=0,0,ROUND(AX42*(1+'Your debts'!$D$14/1200),2))</f>
        <v/>
      </c>
      <c r="AU43" s="33">
        <f>IF(AT43&lt;=0,0,MIN('Your debts'!$E$14,AT43))</f>
        <v/>
      </c>
      <c r="AV43" s="33">
        <f>AT43-AU43</f>
        <v/>
      </c>
      <c r="AW43" s="33">
        <f>IF('Your debts'!$F$14="",0,MIN(AV43,MAX(0,MAX(0,'Your debts'!$C$19-(G43+L43+Q43+V43+AA43+AF43+AK43+AP43+AU43+AZ43))-(IF(AND('Your debts'!$F$6&lt;&gt;"",'Your debts'!$F$14&lt;&gt;"",'Your debts'!$F$6&lt;'Your debts'!$F$14),H43,0)+IF(AND('Your debts'!$F$7&lt;&gt;"",'Your debts'!$F$14&lt;&gt;"",'Your debts'!$F$7&lt;'Your debts'!$F$14),M43,0)+IF(AND('Your debts'!$F$8&lt;&gt;"",'Your debts'!$F$14&lt;&gt;"",'Your debts'!$F$8&lt;'Your debts'!$F$14),R43,0)+IF(AND('Your debts'!$F$9&lt;&gt;"",'Your debts'!$F$14&lt;&gt;"",'Your debts'!$F$9&lt;'Your debts'!$F$14),W43,0)+IF(AND('Your debts'!$F$10&lt;&gt;"",'Your debts'!$F$14&lt;&gt;"",'Your debts'!$F$10&lt;'Your debts'!$F$14),AB43,0)+IF(AND('Your debts'!$F$11&lt;&gt;"",'Your debts'!$F$14&lt;&gt;"",'Your debts'!$F$11&lt;'Your debts'!$F$14),AG43,0)+IF(AND('Your debts'!$F$12&lt;&gt;"",'Your debts'!$F$14&lt;&gt;"",'Your debts'!$F$12&lt;'Your debts'!$F$14),AL43,0)+IF(AND('Your debts'!$F$13&lt;&gt;"",'Your debts'!$F$14&lt;&gt;"",'Your debts'!$F$13&lt;'Your debts'!$F$14),AQ43,0)+IF(AND('Your debts'!$F$15&lt;&gt;"",'Your debts'!$F$14&lt;&gt;"",'Your debts'!$F$15&lt;'Your debts'!$F$14),BA43,0)))))</f>
        <v/>
      </c>
      <c r="AX43" s="33">
        <f>AV43-AW43</f>
        <v/>
      </c>
      <c r="AY43" s="33">
        <f>IF(BC42&lt;=0,0,ROUND(BC42*(1+'Your debts'!$D$15/1200),2))</f>
        <v/>
      </c>
      <c r="AZ43" s="33">
        <f>IF(AY43&lt;=0,0,MIN('Your debts'!$E$15,AY43))</f>
        <v/>
      </c>
      <c r="BA43" s="33">
        <f>AY43-AZ43</f>
        <v/>
      </c>
      <c r="BB43" s="33">
        <f>IF('Your debts'!$F$15="",0,MIN(BA43,MAX(0,MAX(0,'Your debts'!$C$19-(G43+L43+Q43+V43+AA43+AF43+AK43+AP43+AU43+AZ43))-(IF(AND('Your debts'!$F$6&lt;&gt;"",'Your debts'!$F$15&lt;&gt;"",'Your debts'!$F$6&lt;'Your debts'!$F$15),H43,0)+IF(AND('Your debts'!$F$7&lt;&gt;"",'Your debts'!$F$15&lt;&gt;"",'Your debts'!$F$7&lt;'Your debts'!$F$15),M43,0)+IF(AND('Your debts'!$F$8&lt;&gt;"",'Your debts'!$F$15&lt;&gt;"",'Your debts'!$F$8&lt;'Your debts'!$F$15),R43,0)+IF(AND('Your debts'!$F$9&lt;&gt;"",'Your debts'!$F$15&lt;&gt;"",'Your debts'!$F$9&lt;'Your debts'!$F$15),W43,0)+IF(AND('Your debts'!$F$10&lt;&gt;"",'Your debts'!$F$15&lt;&gt;"",'Your debts'!$F$10&lt;'Your debts'!$F$15),AB43,0)+IF(AND('Your debts'!$F$11&lt;&gt;"",'Your debts'!$F$15&lt;&gt;"",'Your debts'!$F$11&lt;'Your debts'!$F$15),AG43,0)+IF(AND('Your debts'!$F$12&lt;&gt;"",'Your debts'!$F$15&lt;&gt;"",'Your debts'!$F$12&lt;'Your debts'!$F$15),AL43,0)+IF(AND('Your debts'!$F$13&lt;&gt;"",'Your debts'!$F$15&lt;&gt;"",'Your debts'!$F$13&lt;'Your debts'!$F$15),AQ43,0)+IF(AND('Your debts'!$F$14&lt;&gt;"",'Your debts'!$F$15&lt;&gt;"",'Your debts'!$F$14&lt;'Your debts'!$F$15),AV43,0)))))</f>
        <v/>
      </c>
      <c r="BC43" s="33">
        <f>BA43-BB43</f>
        <v/>
      </c>
    </row>
    <row r="44">
      <c r="A44" s="30" t="n">
        <v>29</v>
      </c>
      <c r="B44" s="31">
        <f>EDATE($B$15,29)</f>
        <v/>
      </c>
      <c r="C44" s="32">
        <f>IF(J43&lt;=0,0,F44-J43)+IF(O43&lt;=0,0,K44-O43)+IF(T43&lt;=0,0,P44-T43)+IF(Y43&lt;=0,0,U44-Y43)+IF(AD43&lt;=0,0,Z44-AD43)+IF(AI43&lt;=0,0,AE44-AI43)+IF(AN43&lt;=0,0,AJ44-AN43)+IF(AS43&lt;=0,0,AO44-AS43)+IF(AX43&lt;=0,0,AT44-AX43)+IF(BC43&lt;=0,0,AY44-BC43)</f>
        <v/>
      </c>
      <c r="D44" s="32">
        <f>G44+I44+L44+N44+Q44+S44+V44+X44+AA44+AC44+AF44+AH44+AK44+AM44+AP44+AR44+AU44+AW44+AZ44+BB44</f>
        <v/>
      </c>
      <c r="E44" s="32">
        <f>J44+O44+T44+Y44+AD44+AI44+AN44+AS44+AX44+BC44</f>
        <v/>
      </c>
      <c r="F44" s="33">
        <f>IF(J43&lt;=0,0,ROUND(J43*(1+'Your debts'!$D$6/1200),2))</f>
        <v/>
      </c>
      <c r="G44" s="33">
        <f>IF(F44&lt;=0,0,MIN('Your debts'!$E$6,F44))</f>
        <v/>
      </c>
      <c r="H44" s="33">
        <f>F44-G44</f>
        <v/>
      </c>
      <c r="I44" s="33">
        <f>IF('Your debts'!$F$6="",0,MIN(H44,MAX(0,MAX(0,'Your debts'!$C$19-(G44+L44+Q44+V44+AA44+AF44+AK44+AP44+AU44+AZ44))-(IF(AND('Your debts'!$F$7&lt;&gt;"",'Your debts'!$F$6&lt;&gt;"",'Your debts'!$F$7&lt;'Your debts'!$F$6),M44,0)+IF(AND('Your debts'!$F$8&lt;&gt;"",'Your debts'!$F$6&lt;&gt;"",'Your debts'!$F$8&lt;'Your debts'!$F$6),R44,0)+IF(AND('Your debts'!$F$9&lt;&gt;"",'Your debts'!$F$6&lt;&gt;"",'Your debts'!$F$9&lt;'Your debts'!$F$6),W44,0)+IF(AND('Your debts'!$F$10&lt;&gt;"",'Your debts'!$F$6&lt;&gt;"",'Your debts'!$F$10&lt;'Your debts'!$F$6),AB44,0)+IF(AND('Your debts'!$F$11&lt;&gt;"",'Your debts'!$F$6&lt;&gt;"",'Your debts'!$F$11&lt;'Your debts'!$F$6),AG44,0)+IF(AND('Your debts'!$F$12&lt;&gt;"",'Your debts'!$F$6&lt;&gt;"",'Your debts'!$F$12&lt;'Your debts'!$F$6),AL44,0)+IF(AND('Your debts'!$F$13&lt;&gt;"",'Your debts'!$F$6&lt;&gt;"",'Your debts'!$F$13&lt;'Your debts'!$F$6),AQ44,0)+IF(AND('Your debts'!$F$14&lt;&gt;"",'Your debts'!$F$6&lt;&gt;"",'Your debts'!$F$14&lt;'Your debts'!$F$6),AV44,0)+IF(AND('Your debts'!$F$15&lt;&gt;"",'Your debts'!$F$6&lt;&gt;"",'Your debts'!$F$15&lt;'Your debts'!$F$6),BA44,0)))))</f>
        <v/>
      </c>
      <c r="J44" s="33">
        <f>H44-I44</f>
        <v/>
      </c>
      <c r="K44" s="33">
        <f>IF(O43&lt;=0,0,ROUND(O43*(1+'Your debts'!$D$7/1200),2))</f>
        <v/>
      </c>
      <c r="L44" s="33">
        <f>IF(K44&lt;=0,0,MIN('Your debts'!$E$7,K44))</f>
        <v/>
      </c>
      <c r="M44" s="33">
        <f>K44-L44</f>
        <v/>
      </c>
      <c r="N44" s="33">
        <f>IF('Your debts'!$F$7="",0,MIN(M44,MAX(0,MAX(0,'Your debts'!$C$19-(G44+L44+Q44+V44+AA44+AF44+AK44+AP44+AU44+AZ44))-(IF(AND('Your debts'!$F$6&lt;&gt;"",'Your debts'!$F$7&lt;&gt;"",'Your debts'!$F$6&lt;'Your debts'!$F$7),H44,0)+IF(AND('Your debts'!$F$8&lt;&gt;"",'Your debts'!$F$7&lt;&gt;"",'Your debts'!$F$8&lt;'Your debts'!$F$7),R44,0)+IF(AND('Your debts'!$F$9&lt;&gt;"",'Your debts'!$F$7&lt;&gt;"",'Your debts'!$F$9&lt;'Your debts'!$F$7),W44,0)+IF(AND('Your debts'!$F$10&lt;&gt;"",'Your debts'!$F$7&lt;&gt;"",'Your debts'!$F$10&lt;'Your debts'!$F$7),AB44,0)+IF(AND('Your debts'!$F$11&lt;&gt;"",'Your debts'!$F$7&lt;&gt;"",'Your debts'!$F$11&lt;'Your debts'!$F$7),AG44,0)+IF(AND('Your debts'!$F$12&lt;&gt;"",'Your debts'!$F$7&lt;&gt;"",'Your debts'!$F$12&lt;'Your debts'!$F$7),AL44,0)+IF(AND('Your debts'!$F$13&lt;&gt;"",'Your debts'!$F$7&lt;&gt;"",'Your debts'!$F$13&lt;'Your debts'!$F$7),AQ44,0)+IF(AND('Your debts'!$F$14&lt;&gt;"",'Your debts'!$F$7&lt;&gt;"",'Your debts'!$F$14&lt;'Your debts'!$F$7),AV44,0)+IF(AND('Your debts'!$F$15&lt;&gt;"",'Your debts'!$F$7&lt;&gt;"",'Your debts'!$F$15&lt;'Your debts'!$F$7),BA44,0)))))</f>
        <v/>
      </c>
      <c r="O44" s="33">
        <f>M44-N44</f>
        <v/>
      </c>
      <c r="P44" s="33">
        <f>IF(T43&lt;=0,0,ROUND(T43*(1+'Your debts'!$D$8/1200),2))</f>
        <v/>
      </c>
      <c r="Q44" s="33">
        <f>IF(P44&lt;=0,0,MIN('Your debts'!$E$8,P44))</f>
        <v/>
      </c>
      <c r="R44" s="33">
        <f>P44-Q44</f>
        <v/>
      </c>
      <c r="S44" s="33">
        <f>IF('Your debts'!$F$8="",0,MIN(R44,MAX(0,MAX(0,'Your debts'!$C$19-(G44+L44+Q44+V44+AA44+AF44+AK44+AP44+AU44+AZ44))-(IF(AND('Your debts'!$F$6&lt;&gt;"",'Your debts'!$F$8&lt;&gt;"",'Your debts'!$F$6&lt;'Your debts'!$F$8),H44,0)+IF(AND('Your debts'!$F$7&lt;&gt;"",'Your debts'!$F$8&lt;&gt;"",'Your debts'!$F$7&lt;'Your debts'!$F$8),M44,0)+IF(AND('Your debts'!$F$9&lt;&gt;"",'Your debts'!$F$8&lt;&gt;"",'Your debts'!$F$9&lt;'Your debts'!$F$8),W44,0)+IF(AND('Your debts'!$F$10&lt;&gt;"",'Your debts'!$F$8&lt;&gt;"",'Your debts'!$F$10&lt;'Your debts'!$F$8),AB44,0)+IF(AND('Your debts'!$F$11&lt;&gt;"",'Your debts'!$F$8&lt;&gt;"",'Your debts'!$F$11&lt;'Your debts'!$F$8),AG44,0)+IF(AND('Your debts'!$F$12&lt;&gt;"",'Your debts'!$F$8&lt;&gt;"",'Your debts'!$F$12&lt;'Your debts'!$F$8),AL44,0)+IF(AND('Your debts'!$F$13&lt;&gt;"",'Your debts'!$F$8&lt;&gt;"",'Your debts'!$F$13&lt;'Your debts'!$F$8),AQ44,0)+IF(AND('Your debts'!$F$14&lt;&gt;"",'Your debts'!$F$8&lt;&gt;"",'Your debts'!$F$14&lt;'Your debts'!$F$8),AV44,0)+IF(AND('Your debts'!$F$15&lt;&gt;"",'Your debts'!$F$8&lt;&gt;"",'Your debts'!$F$15&lt;'Your debts'!$F$8),BA44,0)))))</f>
        <v/>
      </c>
      <c r="T44" s="33">
        <f>R44-S44</f>
        <v/>
      </c>
      <c r="U44" s="33">
        <f>IF(Y43&lt;=0,0,ROUND(Y43*(1+'Your debts'!$D$9/1200),2))</f>
        <v/>
      </c>
      <c r="V44" s="33">
        <f>IF(U44&lt;=0,0,MIN('Your debts'!$E$9,U44))</f>
        <v/>
      </c>
      <c r="W44" s="33">
        <f>U44-V44</f>
        <v/>
      </c>
      <c r="X44" s="33">
        <f>IF('Your debts'!$F$9="",0,MIN(W44,MAX(0,MAX(0,'Your debts'!$C$19-(G44+L44+Q44+V44+AA44+AF44+AK44+AP44+AU44+AZ44))-(IF(AND('Your debts'!$F$6&lt;&gt;"",'Your debts'!$F$9&lt;&gt;"",'Your debts'!$F$6&lt;'Your debts'!$F$9),H44,0)+IF(AND('Your debts'!$F$7&lt;&gt;"",'Your debts'!$F$9&lt;&gt;"",'Your debts'!$F$7&lt;'Your debts'!$F$9),M44,0)+IF(AND('Your debts'!$F$8&lt;&gt;"",'Your debts'!$F$9&lt;&gt;"",'Your debts'!$F$8&lt;'Your debts'!$F$9),R44,0)+IF(AND('Your debts'!$F$10&lt;&gt;"",'Your debts'!$F$9&lt;&gt;"",'Your debts'!$F$10&lt;'Your debts'!$F$9),AB44,0)+IF(AND('Your debts'!$F$11&lt;&gt;"",'Your debts'!$F$9&lt;&gt;"",'Your debts'!$F$11&lt;'Your debts'!$F$9),AG44,0)+IF(AND('Your debts'!$F$12&lt;&gt;"",'Your debts'!$F$9&lt;&gt;"",'Your debts'!$F$12&lt;'Your debts'!$F$9),AL44,0)+IF(AND('Your debts'!$F$13&lt;&gt;"",'Your debts'!$F$9&lt;&gt;"",'Your debts'!$F$13&lt;'Your debts'!$F$9),AQ44,0)+IF(AND('Your debts'!$F$14&lt;&gt;"",'Your debts'!$F$9&lt;&gt;"",'Your debts'!$F$14&lt;'Your debts'!$F$9),AV44,0)+IF(AND('Your debts'!$F$15&lt;&gt;"",'Your debts'!$F$9&lt;&gt;"",'Your debts'!$F$15&lt;'Your debts'!$F$9),BA44,0)))))</f>
        <v/>
      </c>
      <c r="Y44" s="33">
        <f>W44-X44</f>
        <v/>
      </c>
      <c r="Z44" s="33">
        <f>IF(AD43&lt;=0,0,ROUND(AD43*(1+'Your debts'!$D$10/1200),2))</f>
        <v/>
      </c>
      <c r="AA44" s="33">
        <f>IF(Z44&lt;=0,0,MIN('Your debts'!$E$10,Z44))</f>
        <v/>
      </c>
      <c r="AB44" s="33">
        <f>Z44-AA44</f>
        <v/>
      </c>
      <c r="AC44" s="33">
        <f>IF('Your debts'!$F$10="",0,MIN(AB44,MAX(0,MAX(0,'Your debts'!$C$19-(G44+L44+Q44+V44+AA44+AF44+AK44+AP44+AU44+AZ44))-(IF(AND('Your debts'!$F$6&lt;&gt;"",'Your debts'!$F$10&lt;&gt;"",'Your debts'!$F$6&lt;'Your debts'!$F$10),H44,0)+IF(AND('Your debts'!$F$7&lt;&gt;"",'Your debts'!$F$10&lt;&gt;"",'Your debts'!$F$7&lt;'Your debts'!$F$10),M44,0)+IF(AND('Your debts'!$F$8&lt;&gt;"",'Your debts'!$F$10&lt;&gt;"",'Your debts'!$F$8&lt;'Your debts'!$F$10),R44,0)+IF(AND('Your debts'!$F$9&lt;&gt;"",'Your debts'!$F$10&lt;&gt;"",'Your debts'!$F$9&lt;'Your debts'!$F$10),W44,0)+IF(AND('Your debts'!$F$11&lt;&gt;"",'Your debts'!$F$10&lt;&gt;"",'Your debts'!$F$11&lt;'Your debts'!$F$10),AG44,0)+IF(AND('Your debts'!$F$12&lt;&gt;"",'Your debts'!$F$10&lt;&gt;"",'Your debts'!$F$12&lt;'Your debts'!$F$10),AL44,0)+IF(AND('Your debts'!$F$13&lt;&gt;"",'Your debts'!$F$10&lt;&gt;"",'Your debts'!$F$13&lt;'Your debts'!$F$10),AQ44,0)+IF(AND('Your debts'!$F$14&lt;&gt;"",'Your debts'!$F$10&lt;&gt;"",'Your debts'!$F$14&lt;'Your debts'!$F$10),AV44,0)+IF(AND('Your debts'!$F$15&lt;&gt;"",'Your debts'!$F$10&lt;&gt;"",'Your debts'!$F$15&lt;'Your debts'!$F$10),BA44,0)))))</f>
        <v/>
      </c>
      <c r="AD44" s="33">
        <f>AB44-AC44</f>
        <v/>
      </c>
      <c r="AE44" s="33">
        <f>IF(AI43&lt;=0,0,ROUND(AI43*(1+'Your debts'!$D$11/1200),2))</f>
        <v/>
      </c>
      <c r="AF44" s="33">
        <f>IF(AE44&lt;=0,0,MIN('Your debts'!$E$11,AE44))</f>
        <v/>
      </c>
      <c r="AG44" s="33">
        <f>AE44-AF44</f>
        <v/>
      </c>
      <c r="AH44" s="33">
        <f>IF('Your debts'!$F$11="",0,MIN(AG44,MAX(0,MAX(0,'Your debts'!$C$19-(G44+L44+Q44+V44+AA44+AF44+AK44+AP44+AU44+AZ44))-(IF(AND('Your debts'!$F$6&lt;&gt;"",'Your debts'!$F$11&lt;&gt;"",'Your debts'!$F$6&lt;'Your debts'!$F$11),H44,0)+IF(AND('Your debts'!$F$7&lt;&gt;"",'Your debts'!$F$11&lt;&gt;"",'Your debts'!$F$7&lt;'Your debts'!$F$11),M44,0)+IF(AND('Your debts'!$F$8&lt;&gt;"",'Your debts'!$F$11&lt;&gt;"",'Your debts'!$F$8&lt;'Your debts'!$F$11),R44,0)+IF(AND('Your debts'!$F$9&lt;&gt;"",'Your debts'!$F$11&lt;&gt;"",'Your debts'!$F$9&lt;'Your debts'!$F$11),W44,0)+IF(AND('Your debts'!$F$10&lt;&gt;"",'Your debts'!$F$11&lt;&gt;"",'Your debts'!$F$10&lt;'Your debts'!$F$11),AB44,0)+IF(AND('Your debts'!$F$12&lt;&gt;"",'Your debts'!$F$11&lt;&gt;"",'Your debts'!$F$12&lt;'Your debts'!$F$11),AL44,0)+IF(AND('Your debts'!$F$13&lt;&gt;"",'Your debts'!$F$11&lt;&gt;"",'Your debts'!$F$13&lt;'Your debts'!$F$11),AQ44,0)+IF(AND('Your debts'!$F$14&lt;&gt;"",'Your debts'!$F$11&lt;&gt;"",'Your debts'!$F$14&lt;'Your debts'!$F$11),AV44,0)+IF(AND('Your debts'!$F$15&lt;&gt;"",'Your debts'!$F$11&lt;&gt;"",'Your debts'!$F$15&lt;'Your debts'!$F$11),BA44,0)))))</f>
        <v/>
      </c>
      <c r="AI44" s="33">
        <f>AG44-AH44</f>
        <v/>
      </c>
      <c r="AJ44" s="33">
        <f>IF(AN43&lt;=0,0,ROUND(AN43*(1+'Your debts'!$D$12/1200),2))</f>
        <v/>
      </c>
      <c r="AK44" s="33">
        <f>IF(AJ44&lt;=0,0,MIN('Your debts'!$E$12,AJ44))</f>
        <v/>
      </c>
      <c r="AL44" s="33">
        <f>AJ44-AK44</f>
        <v/>
      </c>
      <c r="AM44" s="33">
        <f>IF('Your debts'!$F$12="",0,MIN(AL44,MAX(0,MAX(0,'Your debts'!$C$19-(G44+L44+Q44+V44+AA44+AF44+AK44+AP44+AU44+AZ44))-(IF(AND('Your debts'!$F$6&lt;&gt;"",'Your debts'!$F$12&lt;&gt;"",'Your debts'!$F$6&lt;'Your debts'!$F$12),H44,0)+IF(AND('Your debts'!$F$7&lt;&gt;"",'Your debts'!$F$12&lt;&gt;"",'Your debts'!$F$7&lt;'Your debts'!$F$12),M44,0)+IF(AND('Your debts'!$F$8&lt;&gt;"",'Your debts'!$F$12&lt;&gt;"",'Your debts'!$F$8&lt;'Your debts'!$F$12),R44,0)+IF(AND('Your debts'!$F$9&lt;&gt;"",'Your debts'!$F$12&lt;&gt;"",'Your debts'!$F$9&lt;'Your debts'!$F$12),W44,0)+IF(AND('Your debts'!$F$10&lt;&gt;"",'Your debts'!$F$12&lt;&gt;"",'Your debts'!$F$10&lt;'Your debts'!$F$12),AB44,0)+IF(AND('Your debts'!$F$11&lt;&gt;"",'Your debts'!$F$12&lt;&gt;"",'Your debts'!$F$11&lt;'Your debts'!$F$12),AG44,0)+IF(AND('Your debts'!$F$13&lt;&gt;"",'Your debts'!$F$12&lt;&gt;"",'Your debts'!$F$13&lt;'Your debts'!$F$12),AQ44,0)+IF(AND('Your debts'!$F$14&lt;&gt;"",'Your debts'!$F$12&lt;&gt;"",'Your debts'!$F$14&lt;'Your debts'!$F$12),AV44,0)+IF(AND('Your debts'!$F$15&lt;&gt;"",'Your debts'!$F$12&lt;&gt;"",'Your debts'!$F$15&lt;'Your debts'!$F$12),BA44,0)))))</f>
        <v/>
      </c>
      <c r="AN44" s="33">
        <f>AL44-AM44</f>
        <v/>
      </c>
      <c r="AO44" s="33">
        <f>IF(AS43&lt;=0,0,ROUND(AS43*(1+'Your debts'!$D$13/1200),2))</f>
        <v/>
      </c>
      <c r="AP44" s="33">
        <f>IF(AO44&lt;=0,0,MIN('Your debts'!$E$13,AO44))</f>
        <v/>
      </c>
      <c r="AQ44" s="33">
        <f>AO44-AP44</f>
        <v/>
      </c>
      <c r="AR44" s="33">
        <f>IF('Your debts'!$F$13="",0,MIN(AQ44,MAX(0,MAX(0,'Your debts'!$C$19-(G44+L44+Q44+V44+AA44+AF44+AK44+AP44+AU44+AZ44))-(IF(AND('Your debts'!$F$6&lt;&gt;"",'Your debts'!$F$13&lt;&gt;"",'Your debts'!$F$6&lt;'Your debts'!$F$13),H44,0)+IF(AND('Your debts'!$F$7&lt;&gt;"",'Your debts'!$F$13&lt;&gt;"",'Your debts'!$F$7&lt;'Your debts'!$F$13),M44,0)+IF(AND('Your debts'!$F$8&lt;&gt;"",'Your debts'!$F$13&lt;&gt;"",'Your debts'!$F$8&lt;'Your debts'!$F$13),R44,0)+IF(AND('Your debts'!$F$9&lt;&gt;"",'Your debts'!$F$13&lt;&gt;"",'Your debts'!$F$9&lt;'Your debts'!$F$13),W44,0)+IF(AND('Your debts'!$F$10&lt;&gt;"",'Your debts'!$F$13&lt;&gt;"",'Your debts'!$F$10&lt;'Your debts'!$F$13),AB44,0)+IF(AND('Your debts'!$F$11&lt;&gt;"",'Your debts'!$F$13&lt;&gt;"",'Your debts'!$F$11&lt;'Your debts'!$F$13),AG44,0)+IF(AND('Your debts'!$F$12&lt;&gt;"",'Your debts'!$F$13&lt;&gt;"",'Your debts'!$F$12&lt;'Your debts'!$F$13),AL44,0)+IF(AND('Your debts'!$F$14&lt;&gt;"",'Your debts'!$F$13&lt;&gt;"",'Your debts'!$F$14&lt;'Your debts'!$F$13),AV44,0)+IF(AND('Your debts'!$F$15&lt;&gt;"",'Your debts'!$F$13&lt;&gt;"",'Your debts'!$F$15&lt;'Your debts'!$F$13),BA44,0)))))</f>
        <v/>
      </c>
      <c r="AS44" s="33">
        <f>AQ44-AR44</f>
        <v/>
      </c>
      <c r="AT44" s="33">
        <f>IF(AX43&lt;=0,0,ROUND(AX43*(1+'Your debts'!$D$14/1200),2))</f>
        <v/>
      </c>
      <c r="AU44" s="33">
        <f>IF(AT44&lt;=0,0,MIN('Your debts'!$E$14,AT44))</f>
        <v/>
      </c>
      <c r="AV44" s="33">
        <f>AT44-AU44</f>
        <v/>
      </c>
      <c r="AW44" s="33">
        <f>IF('Your debts'!$F$14="",0,MIN(AV44,MAX(0,MAX(0,'Your debts'!$C$19-(G44+L44+Q44+V44+AA44+AF44+AK44+AP44+AU44+AZ44))-(IF(AND('Your debts'!$F$6&lt;&gt;"",'Your debts'!$F$14&lt;&gt;"",'Your debts'!$F$6&lt;'Your debts'!$F$14),H44,0)+IF(AND('Your debts'!$F$7&lt;&gt;"",'Your debts'!$F$14&lt;&gt;"",'Your debts'!$F$7&lt;'Your debts'!$F$14),M44,0)+IF(AND('Your debts'!$F$8&lt;&gt;"",'Your debts'!$F$14&lt;&gt;"",'Your debts'!$F$8&lt;'Your debts'!$F$14),R44,0)+IF(AND('Your debts'!$F$9&lt;&gt;"",'Your debts'!$F$14&lt;&gt;"",'Your debts'!$F$9&lt;'Your debts'!$F$14),W44,0)+IF(AND('Your debts'!$F$10&lt;&gt;"",'Your debts'!$F$14&lt;&gt;"",'Your debts'!$F$10&lt;'Your debts'!$F$14),AB44,0)+IF(AND('Your debts'!$F$11&lt;&gt;"",'Your debts'!$F$14&lt;&gt;"",'Your debts'!$F$11&lt;'Your debts'!$F$14),AG44,0)+IF(AND('Your debts'!$F$12&lt;&gt;"",'Your debts'!$F$14&lt;&gt;"",'Your debts'!$F$12&lt;'Your debts'!$F$14),AL44,0)+IF(AND('Your debts'!$F$13&lt;&gt;"",'Your debts'!$F$14&lt;&gt;"",'Your debts'!$F$13&lt;'Your debts'!$F$14),AQ44,0)+IF(AND('Your debts'!$F$15&lt;&gt;"",'Your debts'!$F$14&lt;&gt;"",'Your debts'!$F$15&lt;'Your debts'!$F$14),BA44,0)))))</f>
        <v/>
      </c>
      <c r="AX44" s="33">
        <f>AV44-AW44</f>
        <v/>
      </c>
      <c r="AY44" s="33">
        <f>IF(BC43&lt;=0,0,ROUND(BC43*(1+'Your debts'!$D$15/1200),2))</f>
        <v/>
      </c>
      <c r="AZ44" s="33">
        <f>IF(AY44&lt;=0,0,MIN('Your debts'!$E$15,AY44))</f>
        <v/>
      </c>
      <c r="BA44" s="33">
        <f>AY44-AZ44</f>
        <v/>
      </c>
      <c r="BB44" s="33">
        <f>IF('Your debts'!$F$15="",0,MIN(BA44,MAX(0,MAX(0,'Your debts'!$C$19-(G44+L44+Q44+V44+AA44+AF44+AK44+AP44+AU44+AZ44))-(IF(AND('Your debts'!$F$6&lt;&gt;"",'Your debts'!$F$15&lt;&gt;"",'Your debts'!$F$6&lt;'Your debts'!$F$15),H44,0)+IF(AND('Your debts'!$F$7&lt;&gt;"",'Your debts'!$F$15&lt;&gt;"",'Your debts'!$F$7&lt;'Your debts'!$F$15),M44,0)+IF(AND('Your debts'!$F$8&lt;&gt;"",'Your debts'!$F$15&lt;&gt;"",'Your debts'!$F$8&lt;'Your debts'!$F$15),R44,0)+IF(AND('Your debts'!$F$9&lt;&gt;"",'Your debts'!$F$15&lt;&gt;"",'Your debts'!$F$9&lt;'Your debts'!$F$15),W44,0)+IF(AND('Your debts'!$F$10&lt;&gt;"",'Your debts'!$F$15&lt;&gt;"",'Your debts'!$F$10&lt;'Your debts'!$F$15),AB44,0)+IF(AND('Your debts'!$F$11&lt;&gt;"",'Your debts'!$F$15&lt;&gt;"",'Your debts'!$F$11&lt;'Your debts'!$F$15),AG44,0)+IF(AND('Your debts'!$F$12&lt;&gt;"",'Your debts'!$F$15&lt;&gt;"",'Your debts'!$F$12&lt;'Your debts'!$F$15),AL44,0)+IF(AND('Your debts'!$F$13&lt;&gt;"",'Your debts'!$F$15&lt;&gt;"",'Your debts'!$F$13&lt;'Your debts'!$F$15),AQ44,0)+IF(AND('Your debts'!$F$14&lt;&gt;"",'Your debts'!$F$15&lt;&gt;"",'Your debts'!$F$14&lt;'Your debts'!$F$15),AV44,0)))))</f>
        <v/>
      </c>
      <c r="BC44" s="33">
        <f>BA44-BB44</f>
        <v/>
      </c>
    </row>
    <row r="45">
      <c r="A45" s="30" t="n">
        <v>30</v>
      </c>
      <c r="B45" s="31">
        <f>EDATE($B$15,30)</f>
        <v/>
      </c>
      <c r="C45" s="32">
        <f>IF(J44&lt;=0,0,F45-J44)+IF(O44&lt;=0,0,K45-O44)+IF(T44&lt;=0,0,P45-T44)+IF(Y44&lt;=0,0,U45-Y44)+IF(AD44&lt;=0,0,Z45-AD44)+IF(AI44&lt;=0,0,AE45-AI44)+IF(AN44&lt;=0,0,AJ45-AN44)+IF(AS44&lt;=0,0,AO45-AS44)+IF(AX44&lt;=0,0,AT45-AX44)+IF(BC44&lt;=0,0,AY45-BC44)</f>
        <v/>
      </c>
      <c r="D45" s="32">
        <f>G45+I45+L45+N45+Q45+S45+V45+X45+AA45+AC45+AF45+AH45+AK45+AM45+AP45+AR45+AU45+AW45+AZ45+BB45</f>
        <v/>
      </c>
      <c r="E45" s="32">
        <f>J45+O45+T45+Y45+AD45+AI45+AN45+AS45+AX45+BC45</f>
        <v/>
      </c>
      <c r="F45" s="33">
        <f>IF(J44&lt;=0,0,ROUND(J44*(1+'Your debts'!$D$6/1200),2))</f>
        <v/>
      </c>
      <c r="G45" s="33">
        <f>IF(F45&lt;=0,0,MIN('Your debts'!$E$6,F45))</f>
        <v/>
      </c>
      <c r="H45" s="33">
        <f>F45-G45</f>
        <v/>
      </c>
      <c r="I45" s="33">
        <f>IF('Your debts'!$F$6="",0,MIN(H45,MAX(0,MAX(0,'Your debts'!$C$19-(G45+L45+Q45+V45+AA45+AF45+AK45+AP45+AU45+AZ45))-(IF(AND('Your debts'!$F$7&lt;&gt;"",'Your debts'!$F$6&lt;&gt;"",'Your debts'!$F$7&lt;'Your debts'!$F$6),M45,0)+IF(AND('Your debts'!$F$8&lt;&gt;"",'Your debts'!$F$6&lt;&gt;"",'Your debts'!$F$8&lt;'Your debts'!$F$6),R45,0)+IF(AND('Your debts'!$F$9&lt;&gt;"",'Your debts'!$F$6&lt;&gt;"",'Your debts'!$F$9&lt;'Your debts'!$F$6),W45,0)+IF(AND('Your debts'!$F$10&lt;&gt;"",'Your debts'!$F$6&lt;&gt;"",'Your debts'!$F$10&lt;'Your debts'!$F$6),AB45,0)+IF(AND('Your debts'!$F$11&lt;&gt;"",'Your debts'!$F$6&lt;&gt;"",'Your debts'!$F$11&lt;'Your debts'!$F$6),AG45,0)+IF(AND('Your debts'!$F$12&lt;&gt;"",'Your debts'!$F$6&lt;&gt;"",'Your debts'!$F$12&lt;'Your debts'!$F$6),AL45,0)+IF(AND('Your debts'!$F$13&lt;&gt;"",'Your debts'!$F$6&lt;&gt;"",'Your debts'!$F$13&lt;'Your debts'!$F$6),AQ45,0)+IF(AND('Your debts'!$F$14&lt;&gt;"",'Your debts'!$F$6&lt;&gt;"",'Your debts'!$F$14&lt;'Your debts'!$F$6),AV45,0)+IF(AND('Your debts'!$F$15&lt;&gt;"",'Your debts'!$F$6&lt;&gt;"",'Your debts'!$F$15&lt;'Your debts'!$F$6),BA45,0)))))</f>
        <v/>
      </c>
      <c r="J45" s="33">
        <f>H45-I45</f>
        <v/>
      </c>
      <c r="K45" s="33">
        <f>IF(O44&lt;=0,0,ROUND(O44*(1+'Your debts'!$D$7/1200),2))</f>
        <v/>
      </c>
      <c r="L45" s="33">
        <f>IF(K45&lt;=0,0,MIN('Your debts'!$E$7,K45))</f>
        <v/>
      </c>
      <c r="M45" s="33">
        <f>K45-L45</f>
        <v/>
      </c>
      <c r="N45" s="33">
        <f>IF('Your debts'!$F$7="",0,MIN(M45,MAX(0,MAX(0,'Your debts'!$C$19-(G45+L45+Q45+V45+AA45+AF45+AK45+AP45+AU45+AZ45))-(IF(AND('Your debts'!$F$6&lt;&gt;"",'Your debts'!$F$7&lt;&gt;"",'Your debts'!$F$6&lt;'Your debts'!$F$7),H45,0)+IF(AND('Your debts'!$F$8&lt;&gt;"",'Your debts'!$F$7&lt;&gt;"",'Your debts'!$F$8&lt;'Your debts'!$F$7),R45,0)+IF(AND('Your debts'!$F$9&lt;&gt;"",'Your debts'!$F$7&lt;&gt;"",'Your debts'!$F$9&lt;'Your debts'!$F$7),W45,0)+IF(AND('Your debts'!$F$10&lt;&gt;"",'Your debts'!$F$7&lt;&gt;"",'Your debts'!$F$10&lt;'Your debts'!$F$7),AB45,0)+IF(AND('Your debts'!$F$11&lt;&gt;"",'Your debts'!$F$7&lt;&gt;"",'Your debts'!$F$11&lt;'Your debts'!$F$7),AG45,0)+IF(AND('Your debts'!$F$12&lt;&gt;"",'Your debts'!$F$7&lt;&gt;"",'Your debts'!$F$12&lt;'Your debts'!$F$7),AL45,0)+IF(AND('Your debts'!$F$13&lt;&gt;"",'Your debts'!$F$7&lt;&gt;"",'Your debts'!$F$13&lt;'Your debts'!$F$7),AQ45,0)+IF(AND('Your debts'!$F$14&lt;&gt;"",'Your debts'!$F$7&lt;&gt;"",'Your debts'!$F$14&lt;'Your debts'!$F$7),AV45,0)+IF(AND('Your debts'!$F$15&lt;&gt;"",'Your debts'!$F$7&lt;&gt;"",'Your debts'!$F$15&lt;'Your debts'!$F$7),BA45,0)))))</f>
        <v/>
      </c>
      <c r="O45" s="33">
        <f>M45-N45</f>
        <v/>
      </c>
      <c r="P45" s="33">
        <f>IF(T44&lt;=0,0,ROUND(T44*(1+'Your debts'!$D$8/1200),2))</f>
        <v/>
      </c>
      <c r="Q45" s="33">
        <f>IF(P45&lt;=0,0,MIN('Your debts'!$E$8,P45))</f>
        <v/>
      </c>
      <c r="R45" s="33">
        <f>P45-Q45</f>
        <v/>
      </c>
      <c r="S45" s="33">
        <f>IF('Your debts'!$F$8="",0,MIN(R45,MAX(0,MAX(0,'Your debts'!$C$19-(G45+L45+Q45+V45+AA45+AF45+AK45+AP45+AU45+AZ45))-(IF(AND('Your debts'!$F$6&lt;&gt;"",'Your debts'!$F$8&lt;&gt;"",'Your debts'!$F$6&lt;'Your debts'!$F$8),H45,0)+IF(AND('Your debts'!$F$7&lt;&gt;"",'Your debts'!$F$8&lt;&gt;"",'Your debts'!$F$7&lt;'Your debts'!$F$8),M45,0)+IF(AND('Your debts'!$F$9&lt;&gt;"",'Your debts'!$F$8&lt;&gt;"",'Your debts'!$F$9&lt;'Your debts'!$F$8),W45,0)+IF(AND('Your debts'!$F$10&lt;&gt;"",'Your debts'!$F$8&lt;&gt;"",'Your debts'!$F$10&lt;'Your debts'!$F$8),AB45,0)+IF(AND('Your debts'!$F$11&lt;&gt;"",'Your debts'!$F$8&lt;&gt;"",'Your debts'!$F$11&lt;'Your debts'!$F$8),AG45,0)+IF(AND('Your debts'!$F$12&lt;&gt;"",'Your debts'!$F$8&lt;&gt;"",'Your debts'!$F$12&lt;'Your debts'!$F$8),AL45,0)+IF(AND('Your debts'!$F$13&lt;&gt;"",'Your debts'!$F$8&lt;&gt;"",'Your debts'!$F$13&lt;'Your debts'!$F$8),AQ45,0)+IF(AND('Your debts'!$F$14&lt;&gt;"",'Your debts'!$F$8&lt;&gt;"",'Your debts'!$F$14&lt;'Your debts'!$F$8),AV45,0)+IF(AND('Your debts'!$F$15&lt;&gt;"",'Your debts'!$F$8&lt;&gt;"",'Your debts'!$F$15&lt;'Your debts'!$F$8),BA45,0)))))</f>
        <v/>
      </c>
      <c r="T45" s="33">
        <f>R45-S45</f>
        <v/>
      </c>
      <c r="U45" s="33">
        <f>IF(Y44&lt;=0,0,ROUND(Y44*(1+'Your debts'!$D$9/1200),2))</f>
        <v/>
      </c>
      <c r="V45" s="33">
        <f>IF(U45&lt;=0,0,MIN('Your debts'!$E$9,U45))</f>
        <v/>
      </c>
      <c r="W45" s="33">
        <f>U45-V45</f>
        <v/>
      </c>
      <c r="X45" s="33">
        <f>IF('Your debts'!$F$9="",0,MIN(W45,MAX(0,MAX(0,'Your debts'!$C$19-(G45+L45+Q45+V45+AA45+AF45+AK45+AP45+AU45+AZ45))-(IF(AND('Your debts'!$F$6&lt;&gt;"",'Your debts'!$F$9&lt;&gt;"",'Your debts'!$F$6&lt;'Your debts'!$F$9),H45,0)+IF(AND('Your debts'!$F$7&lt;&gt;"",'Your debts'!$F$9&lt;&gt;"",'Your debts'!$F$7&lt;'Your debts'!$F$9),M45,0)+IF(AND('Your debts'!$F$8&lt;&gt;"",'Your debts'!$F$9&lt;&gt;"",'Your debts'!$F$8&lt;'Your debts'!$F$9),R45,0)+IF(AND('Your debts'!$F$10&lt;&gt;"",'Your debts'!$F$9&lt;&gt;"",'Your debts'!$F$10&lt;'Your debts'!$F$9),AB45,0)+IF(AND('Your debts'!$F$11&lt;&gt;"",'Your debts'!$F$9&lt;&gt;"",'Your debts'!$F$11&lt;'Your debts'!$F$9),AG45,0)+IF(AND('Your debts'!$F$12&lt;&gt;"",'Your debts'!$F$9&lt;&gt;"",'Your debts'!$F$12&lt;'Your debts'!$F$9),AL45,0)+IF(AND('Your debts'!$F$13&lt;&gt;"",'Your debts'!$F$9&lt;&gt;"",'Your debts'!$F$13&lt;'Your debts'!$F$9),AQ45,0)+IF(AND('Your debts'!$F$14&lt;&gt;"",'Your debts'!$F$9&lt;&gt;"",'Your debts'!$F$14&lt;'Your debts'!$F$9),AV45,0)+IF(AND('Your debts'!$F$15&lt;&gt;"",'Your debts'!$F$9&lt;&gt;"",'Your debts'!$F$15&lt;'Your debts'!$F$9),BA45,0)))))</f>
        <v/>
      </c>
      <c r="Y45" s="33">
        <f>W45-X45</f>
        <v/>
      </c>
      <c r="Z45" s="33">
        <f>IF(AD44&lt;=0,0,ROUND(AD44*(1+'Your debts'!$D$10/1200),2))</f>
        <v/>
      </c>
      <c r="AA45" s="33">
        <f>IF(Z45&lt;=0,0,MIN('Your debts'!$E$10,Z45))</f>
        <v/>
      </c>
      <c r="AB45" s="33">
        <f>Z45-AA45</f>
        <v/>
      </c>
      <c r="AC45" s="33">
        <f>IF('Your debts'!$F$10="",0,MIN(AB45,MAX(0,MAX(0,'Your debts'!$C$19-(G45+L45+Q45+V45+AA45+AF45+AK45+AP45+AU45+AZ45))-(IF(AND('Your debts'!$F$6&lt;&gt;"",'Your debts'!$F$10&lt;&gt;"",'Your debts'!$F$6&lt;'Your debts'!$F$10),H45,0)+IF(AND('Your debts'!$F$7&lt;&gt;"",'Your debts'!$F$10&lt;&gt;"",'Your debts'!$F$7&lt;'Your debts'!$F$10),M45,0)+IF(AND('Your debts'!$F$8&lt;&gt;"",'Your debts'!$F$10&lt;&gt;"",'Your debts'!$F$8&lt;'Your debts'!$F$10),R45,0)+IF(AND('Your debts'!$F$9&lt;&gt;"",'Your debts'!$F$10&lt;&gt;"",'Your debts'!$F$9&lt;'Your debts'!$F$10),W45,0)+IF(AND('Your debts'!$F$11&lt;&gt;"",'Your debts'!$F$10&lt;&gt;"",'Your debts'!$F$11&lt;'Your debts'!$F$10),AG45,0)+IF(AND('Your debts'!$F$12&lt;&gt;"",'Your debts'!$F$10&lt;&gt;"",'Your debts'!$F$12&lt;'Your debts'!$F$10),AL45,0)+IF(AND('Your debts'!$F$13&lt;&gt;"",'Your debts'!$F$10&lt;&gt;"",'Your debts'!$F$13&lt;'Your debts'!$F$10),AQ45,0)+IF(AND('Your debts'!$F$14&lt;&gt;"",'Your debts'!$F$10&lt;&gt;"",'Your debts'!$F$14&lt;'Your debts'!$F$10),AV45,0)+IF(AND('Your debts'!$F$15&lt;&gt;"",'Your debts'!$F$10&lt;&gt;"",'Your debts'!$F$15&lt;'Your debts'!$F$10),BA45,0)))))</f>
        <v/>
      </c>
      <c r="AD45" s="33">
        <f>AB45-AC45</f>
        <v/>
      </c>
      <c r="AE45" s="33">
        <f>IF(AI44&lt;=0,0,ROUND(AI44*(1+'Your debts'!$D$11/1200),2))</f>
        <v/>
      </c>
      <c r="AF45" s="33">
        <f>IF(AE45&lt;=0,0,MIN('Your debts'!$E$11,AE45))</f>
        <v/>
      </c>
      <c r="AG45" s="33">
        <f>AE45-AF45</f>
        <v/>
      </c>
      <c r="AH45" s="33">
        <f>IF('Your debts'!$F$11="",0,MIN(AG45,MAX(0,MAX(0,'Your debts'!$C$19-(G45+L45+Q45+V45+AA45+AF45+AK45+AP45+AU45+AZ45))-(IF(AND('Your debts'!$F$6&lt;&gt;"",'Your debts'!$F$11&lt;&gt;"",'Your debts'!$F$6&lt;'Your debts'!$F$11),H45,0)+IF(AND('Your debts'!$F$7&lt;&gt;"",'Your debts'!$F$11&lt;&gt;"",'Your debts'!$F$7&lt;'Your debts'!$F$11),M45,0)+IF(AND('Your debts'!$F$8&lt;&gt;"",'Your debts'!$F$11&lt;&gt;"",'Your debts'!$F$8&lt;'Your debts'!$F$11),R45,0)+IF(AND('Your debts'!$F$9&lt;&gt;"",'Your debts'!$F$11&lt;&gt;"",'Your debts'!$F$9&lt;'Your debts'!$F$11),W45,0)+IF(AND('Your debts'!$F$10&lt;&gt;"",'Your debts'!$F$11&lt;&gt;"",'Your debts'!$F$10&lt;'Your debts'!$F$11),AB45,0)+IF(AND('Your debts'!$F$12&lt;&gt;"",'Your debts'!$F$11&lt;&gt;"",'Your debts'!$F$12&lt;'Your debts'!$F$11),AL45,0)+IF(AND('Your debts'!$F$13&lt;&gt;"",'Your debts'!$F$11&lt;&gt;"",'Your debts'!$F$13&lt;'Your debts'!$F$11),AQ45,0)+IF(AND('Your debts'!$F$14&lt;&gt;"",'Your debts'!$F$11&lt;&gt;"",'Your debts'!$F$14&lt;'Your debts'!$F$11),AV45,0)+IF(AND('Your debts'!$F$15&lt;&gt;"",'Your debts'!$F$11&lt;&gt;"",'Your debts'!$F$15&lt;'Your debts'!$F$11),BA45,0)))))</f>
        <v/>
      </c>
      <c r="AI45" s="33">
        <f>AG45-AH45</f>
        <v/>
      </c>
      <c r="AJ45" s="33">
        <f>IF(AN44&lt;=0,0,ROUND(AN44*(1+'Your debts'!$D$12/1200),2))</f>
        <v/>
      </c>
      <c r="AK45" s="33">
        <f>IF(AJ45&lt;=0,0,MIN('Your debts'!$E$12,AJ45))</f>
        <v/>
      </c>
      <c r="AL45" s="33">
        <f>AJ45-AK45</f>
        <v/>
      </c>
      <c r="AM45" s="33">
        <f>IF('Your debts'!$F$12="",0,MIN(AL45,MAX(0,MAX(0,'Your debts'!$C$19-(G45+L45+Q45+V45+AA45+AF45+AK45+AP45+AU45+AZ45))-(IF(AND('Your debts'!$F$6&lt;&gt;"",'Your debts'!$F$12&lt;&gt;"",'Your debts'!$F$6&lt;'Your debts'!$F$12),H45,0)+IF(AND('Your debts'!$F$7&lt;&gt;"",'Your debts'!$F$12&lt;&gt;"",'Your debts'!$F$7&lt;'Your debts'!$F$12),M45,0)+IF(AND('Your debts'!$F$8&lt;&gt;"",'Your debts'!$F$12&lt;&gt;"",'Your debts'!$F$8&lt;'Your debts'!$F$12),R45,0)+IF(AND('Your debts'!$F$9&lt;&gt;"",'Your debts'!$F$12&lt;&gt;"",'Your debts'!$F$9&lt;'Your debts'!$F$12),W45,0)+IF(AND('Your debts'!$F$10&lt;&gt;"",'Your debts'!$F$12&lt;&gt;"",'Your debts'!$F$10&lt;'Your debts'!$F$12),AB45,0)+IF(AND('Your debts'!$F$11&lt;&gt;"",'Your debts'!$F$12&lt;&gt;"",'Your debts'!$F$11&lt;'Your debts'!$F$12),AG45,0)+IF(AND('Your debts'!$F$13&lt;&gt;"",'Your debts'!$F$12&lt;&gt;"",'Your debts'!$F$13&lt;'Your debts'!$F$12),AQ45,0)+IF(AND('Your debts'!$F$14&lt;&gt;"",'Your debts'!$F$12&lt;&gt;"",'Your debts'!$F$14&lt;'Your debts'!$F$12),AV45,0)+IF(AND('Your debts'!$F$15&lt;&gt;"",'Your debts'!$F$12&lt;&gt;"",'Your debts'!$F$15&lt;'Your debts'!$F$12),BA45,0)))))</f>
        <v/>
      </c>
      <c r="AN45" s="33">
        <f>AL45-AM45</f>
        <v/>
      </c>
      <c r="AO45" s="33">
        <f>IF(AS44&lt;=0,0,ROUND(AS44*(1+'Your debts'!$D$13/1200),2))</f>
        <v/>
      </c>
      <c r="AP45" s="33">
        <f>IF(AO45&lt;=0,0,MIN('Your debts'!$E$13,AO45))</f>
        <v/>
      </c>
      <c r="AQ45" s="33">
        <f>AO45-AP45</f>
        <v/>
      </c>
      <c r="AR45" s="33">
        <f>IF('Your debts'!$F$13="",0,MIN(AQ45,MAX(0,MAX(0,'Your debts'!$C$19-(G45+L45+Q45+V45+AA45+AF45+AK45+AP45+AU45+AZ45))-(IF(AND('Your debts'!$F$6&lt;&gt;"",'Your debts'!$F$13&lt;&gt;"",'Your debts'!$F$6&lt;'Your debts'!$F$13),H45,0)+IF(AND('Your debts'!$F$7&lt;&gt;"",'Your debts'!$F$13&lt;&gt;"",'Your debts'!$F$7&lt;'Your debts'!$F$13),M45,0)+IF(AND('Your debts'!$F$8&lt;&gt;"",'Your debts'!$F$13&lt;&gt;"",'Your debts'!$F$8&lt;'Your debts'!$F$13),R45,0)+IF(AND('Your debts'!$F$9&lt;&gt;"",'Your debts'!$F$13&lt;&gt;"",'Your debts'!$F$9&lt;'Your debts'!$F$13),W45,0)+IF(AND('Your debts'!$F$10&lt;&gt;"",'Your debts'!$F$13&lt;&gt;"",'Your debts'!$F$10&lt;'Your debts'!$F$13),AB45,0)+IF(AND('Your debts'!$F$11&lt;&gt;"",'Your debts'!$F$13&lt;&gt;"",'Your debts'!$F$11&lt;'Your debts'!$F$13),AG45,0)+IF(AND('Your debts'!$F$12&lt;&gt;"",'Your debts'!$F$13&lt;&gt;"",'Your debts'!$F$12&lt;'Your debts'!$F$13),AL45,0)+IF(AND('Your debts'!$F$14&lt;&gt;"",'Your debts'!$F$13&lt;&gt;"",'Your debts'!$F$14&lt;'Your debts'!$F$13),AV45,0)+IF(AND('Your debts'!$F$15&lt;&gt;"",'Your debts'!$F$13&lt;&gt;"",'Your debts'!$F$15&lt;'Your debts'!$F$13),BA45,0)))))</f>
        <v/>
      </c>
      <c r="AS45" s="33">
        <f>AQ45-AR45</f>
        <v/>
      </c>
      <c r="AT45" s="33">
        <f>IF(AX44&lt;=0,0,ROUND(AX44*(1+'Your debts'!$D$14/1200),2))</f>
        <v/>
      </c>
      <c r="AU45" s="33">
        <f>IF(AT45&lt;=0,0,MIN('Your debts'!$E$14,AT45))</f>
        <v/>
      </c>
      <c r="AV45" s="33">
        <f>AT45-AU45</f>
        <v/>
      </c>
      <c r="AW45" s="33">
        <f>IF('Your debts'!$F$14="",0,MIN(AV45,MAX(0,MAX(0,'Your debts'!$C$19-(G45+L45+Q45+V45+AA45+AF45+AK45+AP45+AU45+AZ45))-(IF(AND('Your debts'!$F$6&lt;&gt;"",'Your debts'!$F$14&lt;&gt;"",'Your debts'!$F$6&lt;'Your debts'!$F$14),H45,0)+IF(AND('Your debts'!$F$7&lt;&gt;"",'Your debts'!$F$14&lt;&gt;"",'Your debts'!$F$7&lt;'Your debts'!$F$14),M45,0)+IF(AND('Your debts'!$F$8&lt;&gt;"",'Your debts'!$F$14&lt;&gt;"",'Your debts'!$F$8&lt;'Your debts'!$F$14),R45,0)+IF(AND('Your debts'!$F$9&lt;&gt;"",'Your debts'!$F$14&lt;&gt;"",'Your debts'!$F$9&lt;'Your debts'!$F$14),W45,0)+IF(AND('Your debts'!$F$10&lt;&gt;"",'Your debts'!$F$14&lt;&gt;"",'Your debts'!$F$10&lt;'Your debts'!$F$14),AB45,0)+IF(AND('Your debts'!$F$11&lt;&gt;"",'Your debts'!$F$14&lt;&gt;"",'Your debts'!$F$11&lt;'Your debts'!$F$14),AG45,0)+IF(AND('Your debts'!$F$12&lt;&gt;"",'Your debts'!$F$14&lt;&gt;"",'Your debts'!$F$12&lt;'Your debts'!$F$14),AL45,0)+IF(AND('Your debts'!$F$13&lt;&gt;"",'Your debts'!$F$14&lt;&gt;"",'Your debts'!$F$13&lt;'Your debts'!$F$14),AQ45,0)+IF(AND('Your debts'!$F$15&lt;&gt;"",'Your debts'!$F$14&lt;&gt;"",'Your debts'!$F$15&lt;'Your debts'!$F$14),BA45,0)))))</f>
        <v/>
      </c>
      <c r="AX45" s="33">
        <f>AV45-AW45</f>
        <v/>
      </c>
      <c r="AY45" s="33">
        <f>IF(BC44&lt;=0,0,ROUND(BC44*(1+'Your debts'!$D$15/1200),2))</f>
        <v/>
      </c>
      <c r="AZ45" s="33">
        <f>IF(AY45&lt;=0,0,MIN('Your debts'!$E$15,AY45))</f>
        <v/>
      </c>
      <c r="BA45" s="33">
        <f>AY45-AZ45</f>
        <v/>
      </c>
      <c r="BB45" s="33">
        <f>IF('Your debts'!$F$15="",0,MIN(BA45,MAX(0,MAX(0,'Your debts'!$C$19-(G45+L45+Q45+V45+AA45+AF45+AK45+AP45+AU45+AZ45))-(IF(AND('Your debts'!$F$6&lt;&gt;"",'Your debts'!$F$15&lt;&gt;"",'Your debts'!$F$6&lt;'Your debts'!$F$15),H45,0)+IF(AND('Your debts'!$F$7&lt;&gt;"",'Your debts'!$F$15&lt;&gt;"",'Your debts'!$F$7&lt;'Your debts'!$F$15),M45,0)+IF(AND('Your debts'!$F$8&lt;&gt;"",'Your debts'!$F$15&lt;&gt;"",'Your debts'!$F$8&lt;'Your debts'!$F$15),R45,0)+IF(AND('Your debts'!$F$9&lt;&gt;"",'Your debts'!$F$15&lt;&gt;"",'Your debts'!$F$9&lt;'Your debts'!$F$15),W45,0)+IF(AND('Your debts'!$F$10&lt;&gt;"",'Your debts'!$F$15&lt;&gt;"",'Your debts'!$F$10&lt;'Your debts'!$F$15),AB45,0)+IF(AND('Your debts'!$F$11&lt;&gt;"",'Your debts'!$F$15&lt;&gt;"",'Your debts'!$F$11&lt;'Your debts'!$F$15),AG45,0)+IF(AND('Your debts'!$F$12&lt;&gt;"",'Your debts'!$F$15&lt;&gt;"",'Your debts'!$F$12&lt;'Your debts'!$F$15),AL45,0)+IF(AND('Your debts'!$F$13&lt;&gt;"",'Your debts'!$F$15&lt;&gt;"",'Your debts'!$F$13&lt;'Your debts'!$F$15),AQ45,0)+IF(AND('Your debts'!$F$14&lt;&gt;"",'Your debts'!$F$15&lt;&gt;"",'Your debts'!$F$14&lt;'Your debts'!$F$15),AV45,0)))))</f>
        <v/>
      </c>
      <c r="BC45" s="33">
        <f>BA45-BB45</f>
        <v/>
      </c>
    </row>
    <row r="46">
      <c r="A46" s="30" t="n">
        <v>31</v>
      </c>
      <c r="B46" s="31">
        <f>EDATE($B$15,31)</f>
        <v/>
      </c>
      <c r="C46" s="32">
        <f>IF(J45&lt;=0,0,F46-J45)+IF(O45&lt;=0,0,K46-O45)+IF(T45&lt;=0,0,P46-T45)+IF(Y45&lt;=0,0,U46-Y45)+IF(AD45&lt;=0,0,Z46-AD45)+IF(AI45&lt;=0,0,AE46-AI45)+IF(AN45&lt;=0,0,AJ46-AN45)+IF(AS45&lt;=0,0,AO46-AS45)+IF(AX45&lt;=0,0,AT46-AX45)+IF(BC45&lt;=0,0,AY46-BC45)</f>
        <v/>
      </c>
      <c r="D46" s="32">
        <f>G46+I46+L46+N46+Q46+S46+V46+X46+AA46+AC46+AF46+AH46+AK46+AM46+AP46+AR46+AU46+AW46+AZ46+BB46</f>
        <v/>
      </c>
      <c r="E46" s="32">
        <f>J46+O46+T46+Y46+AD46+AI46+AN46+AS46+AX46+BC46</f>
        <v/>
      </c>
      <c r="F46" s="33">
        <f>IF(J45&lt;=0,0,ROUND(J45*(1+'Your debts'!$D$6/1200),2))</f>
        <v/>
      </c>
      <c r="G46" s="33">
        <f>IF(F46&lt;=0,0,MIN('Your debts'!$E$6,F46))</f>
        <v/>
      </c>
      <c r="H46" s="33">
        <f>F46-G46</f>
        <v/>
      </c>
      <c r="I46" s="33">
        <f>IF('Your debts'!$F$6="",0,MIN(H46,MAX(0,MAX(0,'Your debts'!$C$19-(G46+L46+Q46+V46+AA46+AF46+AK46+AP46+AU46+AZ46))-(IF(AND('Your debts'!$F$7&lt;&gt;"",'Your debts'!$F$6&lt;&gt;"",'Your debts'!$F$7&lt;'Your debts'!$F$6),M46,0)+IF(AND('Your debts'!$F$8&lt;&gt;"",'Your debts'!$F$6&lt;&gt;"",'Your debts'!$F$8&lt;'Your debts'!$F$6),R46,0)+IF(AND('Your debts'!$F$9&lt;&gt;"",'Your debts'!$F$6&lt;&gt;"",'Your debts'!$F$9&lt;'Your debts'!$F$6),W46,0)+IF(AND('Your debts'!$F$10&lt;&gt;"",'Your debts'!$F$6&lt;&gt;"",'Your debts'!$F$10&lt;'Your debts'!$F$6),AB46,0)+IF(AND('Your debts'!$F$11&lt;&gt;"",'Your debts'!$F$6&lt;&gt;"",'Your debts'!$F$11&lt;'Your debts'!$F$6),AG46,0)+IF(AND('Your debts'!$F$12&lt;&gt;"",'Your debts'!$F$6&lt;&gt;"",'Your debts'!$F$12&lt;'Your debts'!$F$6),AL46,0)+IF(AND('Your debts'!$F$13&lt;&gt;"",'Your debts'!$F$6&lt;&gt;"",'Your debts'!$F$13&lt;'Your debts'!$F$6),AQ46,0)+IF(AND('Your debts'!$F$14&lt;&gt;"",'Your debts'!$F$6&lt;&gt;"",'Your debts'!$F$14&lt;'Your debts'!$F$6),AV46,0)+IF(AND('Your debts'!$F$15&lt;&gt;"",'Your debts'!$F$6&lt;&gt;"",'Your debts'!$F$15&lt;'Your debts'!$F$6),BA46,0)))))</f>
        <v/>
      </c>
      <c r="J46" s="33">
        <f>H46-I46</f>
        <v/>
      </c>
      <c r="K46" s="33">
        <f>IF(O45&lt;=0,0,ROUND(O45*(1+'Your debts'!$D$7/1200),2))</f>
        <v/>
      </c>
      <c r="L46" s="33">
        <f>IF(K46&lt;=0,0,MIN('Your debts'!$E$7,K46))</f>
        <v/>
      </c>
      <c r="M46" s="33">
        <f>K46-L46</f>
        <v/>
      </c>
      <c r="N46" s="33">
        <f>IF('Your debts'!$F$7="",0,MIN(M46,MAX(0,MAX(0,'Your debts'!$C$19-(G46+L46+Q46+V46+AA46+AF46+AK46+AP46+AU46+AZ46))-(IF(AND('Your debts'!$F$6&lt;&gt;"",'Your debts'!$F$7&lt;&gt;"",'Your debts'!$F$6&lt;'Your debts'!$F$7),H46,0)+IF(AND('Your debts'!$F$8&lt;&gt;"",'Your debts'!$F$7&lt;&gt;"",'Your debts'!$F$8&lt;'Your debts'!$F$7),R46,0)+IF(AND('Your debts'!$F$9&lt;&gt;"",'Your debts'!$F$7&lt;&gt;"",'Your debts'!$F$9&lt;'Your debts'!$F$7),W46,0)+IF(AND('Your debts'!$F$10&lt;&gt;"",'Your debts'!$F$7&lt;&gt;"",'Your debts'!$F$10&lt;'Your debts'!$F$7),AB46,0)+IF(AND('Your debts'!$F$11&lt;&gt;"",'Your debts'!$F$7&lt;&gt;"",'Your debts'!$F$11&lt;'Your debts'!$F$7),AG46,0)+IF(AND('Your debts'!$F$12&lt;&gt;"",'Your debts'!$F$7&lt;&gt;"",'Your debts'!$F$12&lt;'Your debts'!$F$7),AL46,0)+IF(AND('Your debts'!$F$13&lt;&gt;"",'Your debts'!$F$7&lt;&gt;"",'Your debts'!$F$13&lt;'Your debts'!$F$7),AQ46,0)+IF(AND('Your debts'!$F$14&lt;&gt;"",'Your debts'!$F$7&lt;&gt;"",'Your debts'!$F$14&lt;'Your debts'!$F$7),AV46,0)+IF(AND('Your debts'!$F$15&lt;&gt;"",'Your debts'!$F$7&lt;&gt;"",'Your debts'!$F$15&lt;'Your debts'!$F$7),BA46,0)))))</f>
        <v/>
      </c>
      <c r="O46" s="33">
        <f>M46-N46</f>
        <v/>
      </c>
      <c r="P46" s="33">
        <f>IF(T45&lt;=0,0,ROUND(T45*(1+'Your debts'!$D$8/1200),2))</f>
        <v/>
      </c>
      <c r="Q46" s="33">
        <f>IF(P46&lt;=0,0,MIN('Your debts'!$E$8,P46))</f>
        <v/>
      </c>
      <c r="R46" s="33">
        <f>P46-Q46</f>
        <v/>
      </c>
      <c r="S46" s="33">
        <f>IF('Your debts'!$F$8="",0,MIN(R46,MAX(0,MAX(0,'Your debts'!$C$19-(G46+L46+Q46+V46+AA46+AF46+AK46+AP46+AU46+AZ46))-(IF(AND('Your debts'!$F$6&lt;&gt;"",'Your debts'!$F$8&lt;&gt;"",'Your debts'!$F$6&lt;'Your debts'!$F$8),H46,0)+IF(AND('Your debts'!$F$7&lt;&gt;"",'Your debts'!$F$8&lt;&gt;"",'Your debts'!$F$7&lt;'Your debts'!$F$8),M46,0)+IF(AND('Your debts'!$F$9&lt;&gt;"",'Your debts'!$F$8&lt;&gt;"",'Your debts'!$F$9&lt;'Your debts'!$F$8),W46,0)+IF(AND('Your debts'!$F$10&lt;&gt;"",'Your debts'!$F$8&lt;&gt;"",'Your debts'!$F$10&lt;'Your debts'!$F$8),AB46,0)+IF(AND('Your debts'!$F$11&lt;&gt;"",'Your debts'!$F$8&lt;&gt;"",'Your debts'!$F$11&lt;'Your debts'!$F$8),AG46,0)+IF(AND('Your debts'!$F$12&lt;&gt;"",'Your debts'!$F$8&lt;&gt;"",'Your debts'!$F$12&lt;'Your debts'!$F$8),AL46,0)+IF(AND('Your debts'!$F$13&lt;&gt;"",'Your debts'!$F$8&lt;&gt;"",'Your debts'!$F$13&lt;'Your debts'!$F$8),AQ46,0)+IF(AND('Your debts'!$F$14&lt;&gt;"",'Your debts'!$F$8&lt;&gt;"",'Your debts'!$F$14&lt;'Your debts'!$F$8),AV46,0)+IF(AND('Your debts'!$F$15&lt;&gt;"",'Your debts'!$F$8&lt;&gt;"",'Your debts'!$F$15&lt;'Your debts'!$F$8),BA46,0)))))</f>
        <v/>
      </c>
      <c r="T46" s="33">
        <f>R46-S46</f>
        <v/>
      </c>
      <c r="U46" s="33">
        <f>IF(Y45&lt;=0,0,ROUND(Y45*(1+'Your debts'!$D$9/1200),2))</f>
        <v/>
      </c>
      <c r="V46" s="33">
        <f>IF(U46&lt;=0,0,MIN('Your debts'!$E$9,U46))</f>
        <v/>
      </c>
      <c r="W46" s="33">
        <f>U46-V46</f>
        <v/>
      </c>
      <c r="X46" s="33">
        <f>IF('Your debts'!$F$9="",0,MIN(W46,MAX(0,MAX(0,'Your debts'!$C$19-(G46+L46+Q46+V46+AA46+AF46+AK46+AP46+AU46+AZ46))-(IF(AND('Your debts'!$F$6&lt;&gt;"",'Your debts'!$F$9&lt;&gt;"",'Your debts'!$F$6&lt;'Your debts'!$F$9),H46,0)+IF(AND('Your debts'!$F$7&lt;&gt;"",'Your debts'!$F$9&lt;&gt;"",'Your debts'!$F$7&lt;'Your debts'!$F$9),M46,0)+IF(AND('Your debts'!$F$8&lt;&gt;"",'Your debts'!$F$9&lt;&gt;"",'Your debts'!$F$8&lt;'Your debts'!$F$9),R46,0)+IF(AND('Your debts'!$F$10&lt;&gt;"",'Your debts'!$F$9&lt;&gt;"",'Your debts'!$F$10&lt;'Your debts'!$F$9),AB46,0)+IF(AND('Your debts'!$F$11&lt;&gt;"",'Your debts'!$F$9&lt;&gt;"",'Your debts'!$F$11&lt;'Your debts'!$F$9),AG46,0)+IF(AND('Your debts'!$F$12&lt;&gt;"",'Your debts'!$F$9&lt;&gt;"",'Your debts'!$F$12&lt;'Your debts'!$F$9),AL46,0)+IF(AND('Your debts'!$F$13&lt;&gt;"",'Your debts'!$F$9&lt;&gt;"",'Your debts'!$F$13&lt;'Your debts'!$F$9),AQ46,0)+IF(AND('Your debts'!$F$14&lt;&gt;"",'Your debts'!$F$9&lt;&gt;"",'Your debts'!$F$14&lt;'Your debts'!$F$9),AV46,0)+IF(AND('Your debts'!$F$15&lt;&gt;"",'Your debts'!$F$9&lt;&gt;"",'Your debts'!$F$15&lt;'Your debts'!$F$9),BA46,0)))))</f>
        <v/>
      </c>
      <c r="Y46" s="33">
        <f>W46-X46</f>
        <v/>
      </c>
      <c r="Z46" s="33">
        <f>IF(AD45&lt;=0,0,ROUND(AD45*(1+'Your debts'!$D$10/1200),2))</f>
        <v/>
      </c>
      <c r="AA46" s="33">
        <f>IF(Z46&lt;=0,0,MIN('Your debts'!$E$10,Z46))</f>
        <v/>
      </c>
      <c r="AB46" s="33">
        <f>Z46-AA46</f>
        <v/>
      </c>
      <c r="AC46" s="33">
        <f>IF('Your debts'!$F$10="",0,MIN(AB46,MAX(0,MAX(0,'Your debts'!$C$19-(G46+L46+Q46+V46+AA46+AF46+AK46+AP46+AU46+AZ46))-(IF(AND('Your debts'!$F$6&lt;&gt;"",'Your debts'!$F$10&lt;&gt;"",'Your debts'!$F$6&lt;'Your debts'!$F$10),H46,0)+IF(AND('Your debts'!$F$7&lt;&gt;"",'Your debts'!$F$10&lt;&gt;"",'Your debts'!$F$7&lt;'Your debts'!$F$10),M46,0)+IF(AND('Your debts'!$F$8&lt;&gt;"",'Your debts'!$F$10&lt;&gt;"",'Your debts'!$F$8&lt;'Your debts'!$F$10),R46,0)+IF(AND('Your debts'!$F$9&lt;&gt;"",'Your debts'!$F$10&lt;&gt;"",'Your debts'!$F$9&lt;'Your debts'!$F$10),W46,0)+IF(AND('Your debts'!$F$11&lt;&gt;"",'Your debts'!$F$10&lt;&gt;"",'Your debts'!$F$11&lt;'Your debts'!$F$10),AG46,0)+IF(AND('Your debts'!$F$12&lt;&gt;"",'Your debts'!$F$10&lt;&gt;"",'Your debts'!$F$12&lt;'Your debts'!$F$10),AL46,0)+IF(AND('Your debts'!$F$13&lt;&gt;"",'Your debts'!$F$10&lt;&gt;"",'Your debts'!$F$13&lt;'Your debts'!$F$10),AQ46,0)+IF(AND('Your debts'!$F$14&lt;&gt;"",'Your debts'!$F$10&lt;&gt;"",'Your debts'!$F$14&lt;'Your debts'!$F$10),AV46,0)+IF(AND('Your debts'!$F$15&lt;&gt;"",'Your debts'!$F$10&lt;&gt;"",'Your debts'!$F$15&lt;'Your debts'!$F$10),BA46,0)))))</f>
        <v/>
      </c>
      <c r="AD46" s="33">
        <f>AB46-AC46</f>
        <v/>
      </c>
      <c r="AE46" s="33">
        <f>IF(AI45&lt;=0,0,ROUND(AI45*(1+'Your debts'!$D$11/1200),2))</f>
        <v/>
      </c>
      <c r="AF46" s="33">
        <f>IF(AE46&lt;=0,0,MIN('Your debts'!$E$11,AE46))</f>
        <v/>
      </c>
      <c r="AG46" s="33">
        <f>AE46-AF46</f>
        <v/>
      </c>
      <c r="AH46" s="33">
        <f>IF('Your debts'!$F$11="",0,MIN(AG46,MAX(0,MAX(0,'Your debts'!$C$19-(G46+L46+Q46+V46+AA46+AF46+AK46+AP46+AU46+AZ46))-(IF(AND('Your debts'!$F$6&lt;&gt;"",'Your debts'!$F$11&lt;&gt;"",'Your debts'!$F$6&lt;'Your debts'!$F$11),H46,0)+IF(AND('Your debts'!$F$7&lt;&gt;"",'Your debts'!$F$11&lt;&gt;"",'Your debts'!$F$7&lt;'Your debts'!$F$11),M46,0)+IF(AND('Your debts'!$F$8&lt;&gt;"",'Your debts'!$F$11&lt;&gt;"",'Your debts'!$F$8&lt;'Your debts'!$F$11),R46,0)+IF(AND('Your debts'!$F$9&lt;&gt;"",'Your debts'!$F$11&lt;&gt;"",'Your debts'!$F$9&lt;'Your debts'!$F$11),W46,0)+IF(AND('Your debts'!$F$10&lt;&gt;"",'Your debts'!$F$11&lt;&gt;"",'Your debts'!$F$10&lt;'Your debts'!$F$11),AB46,0)+IF(AND('Your debts'!$F$12&lt;&gt;"",'Your debts'!$F$11&lt;&gt;"",'Your debts'!$F$12&lt;'Your debts'!$F$11),AL46,0)+IF(AND('Your debts'!$F$13&lt;&gt;"",'Your debts'!$F$11&lt;&gt;"",'Your debts'!$F$13&lt;'Your debts'!$F$11),AQ46,0)+IF(AND('Your debts'!$F$14&lt;&gt;"",'Your debts'!$F$11&lt;&gt;"",'Your debts'!$F$14&lt;'Your debts'!$F$11),AV46,0)+IF(AND('Your debts'!$F$15&lt;&gt;"",'Your debts'!$F$11&lt;&gt;"",'Your debts'!$F$15&lt;'Your debts'!$F$11),BA46,0)))))</f>
        <v/>
      </c>
      <c r="AI46" s="33">
        <f>AG46-AH46</f>
        <v/>
      </c>
      <c r="AJ46" s="33">
        <f>IF(AN45&lt;=0,0,ROUND(AN45*(1+'Your debts'!$D$12/1200),2))</f>
        <v/>
      </c>
      <c r="AK46" s="33">
        <f>IF(AJ46&lt;=0,0,MIN('Your debts'!$E$12,AJ46))</f>
        <v/>
      </c>
      <c r="AL46" s="33">
        <f>AJ46-AK46</f>
        <v/>
      </c>
      <c r="AM46" s="33">
        <f>IF('Your debts'!$F$12="",0,MIN(AL46,MAX(0,MAX(0,'Your debts'!$C$19-(G46+L46+Q46+V46+AA46+AF46+AK46+AP46+AU46+AZ46))-(IF(AND('Your debts'!$F$6&lt;&gt;"",'Your debts'!$F$12&lt;&gt;"",'Your debts'!$F$6&lt;'Your debts'!$F$12),H46,0)+IF(AND('Your debts'!$F$7&lt;&gt;"",'Your debts'!$F$12&lt;&gt;"",'Your debts'!$F$7&lt;'Your debts'!$F$12),M46,0)+IF(AND('Your debts'!$F$8&lt;&gt;"",'Your debts'!$F$12&lt;&gt;"",'Your debts'!$F$8&lt;'Your debts'!$F$12),R46,0)+IF(AND('Your debts'!$F$9&lt;&gt;"",'Your debts'!$F$12&lt;&gt;"",'Your debts'!$F$9&lt;'Your debts'!$F$12),W46,0)+IF(AND('Your debts'!$F$10&lt;&gt;"",'Your debts'!$F$12&lt;&gt;"",'Your debts'!$F$10&lt;'Your debts'!$F$12),AB46,0)+IF(AND('Your debts'!$F$11&lt;&gt;"",'Your debts'!$F$12&lt;&gt;"",'Your debts'!$F$11&lt;'Your debts'!$F$12),AG46,0)+IF(AND('Your debts'!$F$13&lt;&gt;"",'Your debts'!$F$12&lt;&gt;"",'Your debts'!$F$13&lt;'Your debts'!$F$12),AQ46,0)+IF(AND('Your debts'!$F$14&lt;&gt;"",'Your debts'!$F$12&lt;&gt;"",'Your debts'!$F$14&lt;'Your debts'!$F$12),AV46,0)+IF(AND('Your debts'!$F$15&lt;&gt;"",'Your debts'!$F$12&lt;&gt;"",'Your debts'!$F$15&lt;'Your debts'!$F$12),BA46,0)))))</f>
        <v/>
      </c>
      <c r="AN46" s="33">
        <f>AL46-AM46</f>
        <v/>
      </c>
      <c r="AO46" s="33">
        <f>IF(AS45&lt;=0,0,ROUND(AS45*(1+'Your debts'!$D$13/1200),2))</f>
        <v/>
      </c>
      <c r="AP46" s="33">
        <f>IF(AO46&lt;=0,0,MIN('Your debts'!$E$13,AO46))</f>
        <v/>
      </c>
      <c r="AQ46" s="33">
        <f>AO46-AP46</f>
        <v/>
      </c>
      <c r="AR46" s="33">
        <f>IF('Your debts'!$F$13="",0,MIN(AQ46,MAX(0,MAX(0,'Your debts'!$C$19-(G46+L46+Q46+V46+AA46+AF46+AK46+AP46+AU46+AZ46))-(IF(AND('Your debts'!$F$6&lt;&gt;"",'Your debts'!$F$13&lt;&gt;"",'Your debts'!$F$6&lt;'Your debts'!$F$13),H46,0)+IF(AND('Your debts'!$F$7&lt;&gt;"",'Your debts'!$F$13&lt;&gt;"",'Your debts'!$F$7&lt;'Your debts'!$F$13),M46,0)+IF(AND('Your debts'!$F$8&lt;&gt;"",'Your debts'!$F$13&lt;&gt;"",'Your debts'!$F$8&lt;'Your debts'!$F$13),R46,0)+IF(AND('Your debts'!$F$9&lt;&gt;"",'Your debts'!$F$13&lt;&gt;"",'Your debts'!$F$9&lt;'Your debts'!$F$13),W46,0)+IF(AND('Your debts'!$F$10&lt;&gt;"",'Your debts'!$F$13&lt;&gt;"",'Your debts'!$F$10&lt;'Your debts'!$F$13),AB46,0)+IF(AND('Your debts'!$F$11&lt;&gt;"",'Your debts'!$F$13&lt;&gt;"",'Your debts'!$F$11&lt;'Your debts'!$F$13),AG46,0)+IF(AND('Your debts'!$F$12&lt;&gt;"",'Your debts'!$F$13&lt;&gt;"",'Your debts'!$F$12&lt;'Your debts'!$F$13),AL46,0)+IF(AND('Your debts'!$F$14&lt;&gt;"",'Your debts'!$F$13&lt;&gt;"",'Your debts'!$F$14&lt;'Your debts'!$F$13),AV46,0)+IF(AND('Your debts'!$F$15&lt;&gt;"",'Your debts'!$F$13&lt;&gt;"",'Your debts'!$F$15&lt;'Your debts'!$F$13),BA46,0)))))</f>
        <v/>
      </c>
      <c r="AS46" s="33">
        <f>AQ46-AR46</f>
        <v/>
      </c>
      <c r="AT46" s="33">
        <f>IF(AX45&lt;=0,0,ROUND(AX45*(1+'Your debts'!$D$14/1200),2))</f>
        <v/>
      </c>
      <c r="AU46" s="33">
        <f>IF(AT46&lt;=0,0,MIN('Your debts'!$E$14,AT46))</f>
        <v/>
      </c>
      <c r="AV46" s="33">
        <f>AT46-AU46</f>
        <v/>
      </c>
      <c r="AW46" s="33">
        <f>IF('Your debts'!$F$14="",0,MIN(AV46,MAX(0,MAX(0,'Your debts'!$C$19-(G46+L46+Q46+V46+AA46+AF46+AK46+AP46+AU46+AZ46))-(IF(AND('Your debts'!$F$6&lt;&gt;"",'Your debts'!$F$14&lt;&gt;"",'Your debts'!$F$6&lt;'Your debts'!$F$14),H46,0)+IF(AND('Your debts'!$F$7&lt;&gt;"",'Your debts'!$F$14&lt;&gt;"",'Your debts'!$F$7&lt;'Your debts'!$F$14),M46,0)+IF(AND('Your debts'!$F$8&lt;&gt;"",'Your debts'!$F$14&lt;&gt;"",'Your debts'!$F$8&lt;'Your debts'!$F$14),R46,0)+IF(AND('Your debts'!$F$9&lt;&gt;"",'Your debts'!$F$14&lt;&gt;"",'Your debts'!$F$9&lt;'Your debts'!$F$14),W46,0)+IF(AND('Your debts'!$F$10&lt;&gt;"",'Your debts'!$F$14&lt;&gt;"",'Your debts'!$F$10&lt;'Your debts'!$F$14),AB46,0)+IF(AND('Your debts'!$F$11&lt;&gt;"",'Your debts'!$F$14&lt;&gt;"",'Your debts'!$F$11&lt;'Your debts'!$F$14),AG46,0)+IF(AND('Your debts'!$F$12&lt;&gt;"",'Your debts'!$F$14&lt;&gt;"",'Your debts'!$F$12&lt;'Your debts'!$F$14),AL46,0)+IF(AND('Your debts'!$F$13&lt;&gt;"",'Your debts'!$F$14&lt;&gt;"",'Your debts'!$F$13&lt;'Your debts'!$F$14),AQ46,0)+IF(AND('Your debts'!$F$15&lt;&gt;"",'Your debts'!$F$14&lt;&gt;"",'Your debts'!$F$15&lt;'Your debts'!$F$14),BA46,0)))))</f>
        <v/>
      </c>
      <c r="AX46" s="33">
        <f>AV46-AW46</f>
        <v/>
      </c>
      <c r="AY46" s="33">
        <f>IF(BC45&lt;=0,0,ROUND(BC45*(1+'Your debts'!$D$15/1200),2))</f>
        <v/>
      </c>
      <c r="AZ46" s="33">
        <f>IF(AY46&lt;=0,0,MIN('Your debts'!$E$15,AY46))</f>
        <v/>
      </c>
      <c r="BA46" s="33">
        <f>AY46-AZ46</f>
        <v/>
      </c>
      <c r="BB46" s="33">
        <f>IF('Your debts'!$F$15="",0,MIN(BA46,MAX(0,MAX(0,'Your debts'!$C$19-(G46+L46+Q46+V46+AA46+AF46+AK46+AP46+AU46+AZ46))-(IF(AND('Your debts'!$F$6&lt;&gt;"",'Your debts'!$F$15&lt;&gt;"",'Your debts'!$F$6&lt;'Your debts'!$F$15),H46,0)+IF(AND('Your debts'!$F$7&lt;&gt;"",'Your debts'!$F$15&lt;&gt;"",'Your debts'!$F$7&lt;'Your debts'!$F$15),M46,0)+IF(AND('Your debts'!$F$8&lt;&gt;"",'Your debts'!$F$15&lt;&gt;"",'Your debts'!$F$8&lt;'Your debts'!$F$15),R46,0)+IF(AND('Your debts'!$F$9&lt;&gt;"",'Your debts'!$F$15&lt;&gt;"",'Your debts'!$F$9&lt;'Your debts'!$F$15),W46,0)+IF(AND('Your debts'!$F$10&lt;&gt;"",'Your debts'!$F$15&lt;&gt;"",'Your debts'!$F$10&lt;'Your debts'!$F$15),AB46,0)+IF(AND('Your debts'!$F$11&lt;&gt;"",'Your debts'!$F$15&lt;&gt;"",'Your debts'!$F$11&lt;'Your debts'!$F$15),AG46,0)+IF(AND('Your debts'!$F$12&lt;&gt;"",'Your debts'!$F$15&lt;&gt;"",'Your debts'!$F$12&lt;'Your debts'!$F$15),AL46,0)+IF(AND('Your debts'!$F$13&lt;&gt;"",'Your debts'!$F$15&lt;&gt;"",'Your debts'!$F$13&lt;'Your debts'!$F$15),AQ46,0)+IF(AND('Your debts'!$F$14&lt;&gt;"",'Your debts'!$F$15&lt;&gt;"",'Your debts'!$F$14&lt;'Your debts'!$F$15),AV46,0)))))</f>
        <v/>
      </c>
      <c r="BC46" s="33">
        <f>BA46-BB46</f>
        <v/>
      </c>
    </row>
    <row r="47">
      <c r="A47" s="30" t="n">
        <v>32</v>
      </c>
      <c r="B47" s="31">
        <f>EDATE($B$15,32)</f>
        <v/>
      </c>
      <c r="C47" s="32">
        <f>IF(J46&lt;=0,0,F47-J46)+IF(O46&lt;=0,0,K47-O46)+IF(T46&lt;=0,0,P47-T46)+IF(Y46&lt;=0,0,U47-Y46)+IF(AD46&lt;=0,0,Z47-AD46)+IF(AI46&lt;=0,0,AE47-AI46)+IF(AN46&lt;=0,0,AJ47-AN46)+IF(AS46&lt;=0,0,AO47-AS46)+IF(AX46&lt;=0,0,AT47-AX46)+IF(BC46&lt;=0,0,AY47-BC46)</f>
        <v/>
      </c>
      <c r="D47" s="32">
        <f>G47+I47+L47+N47+Q47+S47+V47+X47+AA47+AC47+AF47+AH47+AK47+AM47+AP47+AR47+AU47+AW47+AZ47+BB47</f>
        <v/>
      </c>
      <c r="E47" s="32">
        <f>J47+O47+T47+Y47+AD47+AI47+AN47+AS47+AX47+BC47</f>
        <v/>
      </c>
      <c r="F47" s="33">
        <f>IF(J46&lt;=0,0,ROUND(J46*(1+'Your debts'!$D$6/1200),2))</f>
        <v/>
      </c>
      <c r="G47" s="33">
        <f>IF(F47&lt;=0,0,MIN('Your debts'!$E$6,F47))</f>
        <v/>
      </c>
      <c r="H47" s="33">
        <f>F47-G47</f>
        <v/>
      </c>
      <c r="I47" s="33">
        <f>IF('Your debts'!$F$6="",0,MIN(H47,MAX(0,MAX(0,'Your debts'!$C$19-(G47+L47+Q47+V47+AA47+AF47+AK47+AP47+AU47+AZ47))-(IF(AND('Your debts'!$F$7&lt;&gt;"",'Your debts'!$F$6&lt;&gt;"",'Your debts'!$F$7&lt;'Your debts'!$F$6),M47,0)+IF(AND('Your debts'!$F$8&lt;&gt;"",'Your debts'!$F$6&lt;&gt;"",'Your debts'!$F$8&lt;'Your debts'!$F$6),R47,0)+IF(AND('Your debts'!$F$9&lt;&gt;"",'Your debts'!$F$6&lt;&gt;"",'Your debts'!$F$9&lt;'Your debts'!$F$6),W47,0)+IF(AND('Your debts'!$F$10&lt;&gt;"",'Your debts'!$F$6&lt;&gt;"",'Your debts'!$F$10&lt;'Your debts'!$F$6),AB47,0)+IF(AND('Your debts'!$F$11&lt;&gt;"",'Your debts'!$F$6&lt;&gt;"",'Your debts'!$F$11&lt;'Your debts'!$F$6),AG47,0)+IF(AND('Your debts'!$F$12&lt;&gt;"",'Your debts'!$F$6&lt;&gt;"",'Your debts'!$F$12&lt;'Your debts'!$F$6),AL47,0)+IF(AND('Your debts'!$F$13&lt;&gt;"",'Your debts'!$F$6&lt;&gt;"",'Your debts'!$F$13&lt;'Your debts'!$F$6),AQ47,0)+IF(AND('Your debts'!$F$14&lt;&gt;"",'Your debts'!$F$6&lt;&gt;"",'Your debts'!$F$14&lt;'Your debts'!$F$6),AV47,0)+IF(AND('Your debts'!$F$15&lt;&gt;"",'Your debts'!$F$6&lt;&gt;"",'Your debts'!$F$15&lt;'Your debts'!$F$6),BA47,0)))))</f>
        <v/>
      </c>
      <c r="J47" s="33">
        <f>H47-I47</f>
        <v/>
      </c>
      <c r="K47" s="33">
        <f>IF(O46&lt;=0,0,ROUND(O46*(1+'Your debts'!$D$7/1200),2))</f>
        <v/>
      </c>
      <c r="L47" s="33">
        <f>IF(K47&lt;=0,0,MIN('Your debts'!$E$7,K47))</f>
        <v/>
      </c>
      <c r="M47" s="33">
        <f>K47-L47</f>
        <v/>
      </c>
      <c r="N47" s="33">
        <f>IF('Your debts'!$F$7="",0,MIN(M47,MAX(0,MAX(0,'Your debts'!$C$19-(G47+L47+Q47+V47+AA47+AF47+AK47+AP47+AU47+AZ47))-(IF(AND('Your debts'!$F$6&lt;&gt;"",'Your debts'!$F$7&lt;&gt;"",'Your debts'!$F$6&lt;'Your debts'!$F$7),H47,0)+IF(AND('Your debts'!$F$8&lt;&gt;"",'Your debts'!$F$7&lt;&gt;"",'Your debts'!$F$8&lt;'Your debts'!$F$7),R47,0)+IF(AND('Your debts'!$F$9&lt;&gt;"",'Your debts'!$F$7&lt;&gt;"",'Your debts'!$F$9&lt;'Your debts'!$F$7),W47,0)+IF(AND('Your debts'!$F$10&lt;&gt;"",'Your debts'!$F$7&lt;&gt;"",'Your debts'!$F$10&lt;'Your debts'!$F$7),AB47,0)+IF(AND('Your debts'!$F$11&lt;&gt;"",'Your debts'!$F$7&lt;&gt;"",'Your debts'!$F$11&lt;'Your debts'!$F$7),AG47,0)+IF(AND('Your debts'!$F$12&lt;&gt;"",'Your debts'!$F$7&lt;&gt;"",'Your debts'!$F$12&lt;'Your debts'!$F$7),AL47,0)+IF(AND('Your debts'!$F$13&lt;&gt;"",'Your debts'!$F$7&lt;&gt;"",'Your debts'!$F$13&lt;'Your debts'!$F$7),AQ47,0)+IF(AND('Your debts'!$F$14&lt;&gt;"",'Your debts'!$F$7&lt;&gt;"",'Your debts'!$F$14&lt;'Your debts'!$F$7),AV47,0)+IF(AND('Your debts'!$F$15&lt;&gt;"",'Your debts'!$F$7&lt;&gt;"",'Your debts'!$F$15&lt;'Your debts'!$F$7),BA47,0)))))</f>
        <v/>
      </c>
      <c r="O47" s="33">
        <f>M47-N47</f>
        <v/>
      </c>
      <c r="P47" s="33">
        <f>IF(T46&lt;=0,0,ROUND(T46*(1+'Your debts'!$D$8/1200),2))</f>
        <v/>
      </c>
      <c r="Q47" s="33">
        <f>IF(P47&lt;=0,0,MIN('Your debts'!$E$8,P47))</f>
        <v/>
      </c>
      <c r="R47" s="33">
        <f>P47-Q47</f>
        <v/>
      </c>
      <c r="S47" s="33">
        <f>IF('Your debts'!$F$8="",0,MIN(R47,MAX(0,MAX(0,'Your debts'!$C$19-(G47+L47+Q47+V47+AA47+AF47+AK47+AP47+AU47+AZ47))-(IF(AND('Your debts'!$F$6&lt;&gt;"",'Your debts'!$F$8&lt;&gt;"",'Your debts'!$F$6&lt;'Your debts'!$F$8),H47,0)+IF(AND('Your debts'!$F$7&lt;&gt;"",'Your debts'!$F$8&lt;&gt;"",'Your debts'!$F$7&lt;'Your debts'!$F$8),M47,0)+IF(AND('Your debts'!$F$9&lt;&gt;"",'Your debts'!$F$8&lt;&gt;"",'Your debts'!$F$9&lt;'Your debts'!$F$8),W47,0)+IF(AND('Your debts'!$F$10&lt;&gt;"",'Your debts'!$F$8&lt;&gt;"",'Your debts'!$F$10&lt;'Your debts'!$F$8),AB47,0)+IF(AND('Your debts'!$F$11&lt;&gt;"",'Your debts'!$F$8&lt;&gt;"",'Your debts'!$F$11&lt;'Your debts'!$F$8),AG47,0)+IF(AND('Your debts'!$F$12&lt;&gt;"",'Your debts'!$F$8&lt;&gt;"",'Your debts'!$F$12&lt;'Your debts'!$F$8),AL47,0)+IF(AND('Your debts'!$F$13&lt;&gt;"",'Your debts'!$F$8&lt;&gt;"",'Your debts'!$F$13&lt;'Your debts'!$F$8),AQ47,0)+IF(AND('Your debts'!$F$14&lt;&gt;"",'Your debts'!$F$8&lt;&gt;"",'Your debts'!$F$14&lt;'Your debts'!$F$8),AV47,0)+IF(AND('Your debts'!$F$15&lt;&gt;"",'Your debts'!$F$8&lt;&gt;"",'Your debts'!$F$15&lt;'Your debts'!$F$8),BA47,0)))))</f>
        <v/>
      </c>
      <c r="T47" s="33">
        <f>R47-S47</f>
        <v/>
      </c>
      <c r="U47" s="33">
        <f>IF(Y46&lt;=0,0,ROUND(Y46*(1+'Your debts'!$D$9/1200),2))</f>
        <v/>
      </c>
      <c r="V47" s="33">
        <f>IF(U47&lt;=0,0,MIN('Your debts'!$E$9,U47))</f>
        <v/>
      </c>
      <c r="W47" s="33">
        <f>U47-V47</f>
        <v/>
      </c>
      <c r="X47" s="33">
        <f>IF('Your debts'!$F$9="",0,MIN(W47,MAX(0,MAX(0,'Your debts'!$C$19-(G47+L47+Q47+V47+AA47+AF47+AK47+AP47+AU47+AZ47))-(IF(AND('Your debts'!$F$6&lt;&gt;"",'Your debts'!$F$9&lt;&gt;"",'Your debts'!$F$6&lt;'Your debts'!$F$9),H47,0)+IF(AND('Your debts'!$F$7&lt;&gt;"",'Your debts'!$F$9&lt;&gt;"",'Your debts'!$F$7&lt;'Your debts'!$F$9),M47,0)+IF(AND('Your debts'!$F$8&lt;&gt;"",'Your debts'!$F$9&lt;&gt;"",'Your debts'!$F$8&lt;'Your debts'!$F$9),R47,0)+IF(AND('Your debts'!$F$10&lt;&gt;"",'Your debts'!$F$9&lt;&gt;"",'Your debts'!$F$10&lt;'Your debts'!$F$9),AB47,0)+IF(AND('Your debts'!$F$11&lt;&gt;"",'Your debts'!$F$9&lt;&gt;"",'Your debts'!$F$11&lt;'Your debts'!$F$9),AG47,0)+IF(AND('Your debts'!$F$12&lt;&gt;"",'Your debts'!$F$9&lt;&gt;"",'Your debts'!$F$12&lt;'Your debts'!$F$9),AL47,0)+IF(AND('Your debts'!$F$13&lt;&gt;"",'Your debts'!$F$9&lt;&gt;"",'Your debts'!$F$13&lt;'Your debts'!$F$9),AQ47,0)+IF(AND('Your debts'!$F$14&lt;&gt;"",'Your debts'!$F$9&lt;&gt;"",'Your debts'!$F$14&lt;'Your debts'!$F$9),AV47,0)+IF(AND('Your debts'!$F$15&lt;&gt;"",'Your debts'!$F$9&lt;&gt;"",'Your debts'!$F$15&lt;'Your debts'!$F$9),BA47,0)))))</f>
        <v/>
      </c>
      <c r="Y47" s="33">
        <f>W47-X47</f>
        <v/>
      </c>
      <c r="Z47" s="33">
        <f>IF(AD46&lt;=0,0,ROUND(AD46*(1+'Your debts'!$D$10/1200),2))</f>
        <v/>
      </c>
      <c r="AA47" s="33">
        <f>IF(Z47&lt;=0,0,MIN('Your debts'!$E$10,Z47))</f>
        <v/>
      </c>
      <c r="AB47" s="33">
        <f>Z47-AA47</f>
        <v/>
      </c>
      <c r="AC47" s="33">
        <f>IF('Your debts'!$F$10="",0,MIN(AB47,MAX(0,MAX(0,'Your debts'!$C$19-(G47+L47+Q47+V47+AA47+AF47+AK47+AP47+AU47+AZ47))-(IF(AND('Your debts'!$F$6&lt;&gt;"",'Your debts'!$F$10&lt;&gt;"",'Your debts'!$F$6&lt;'Your debts'!$F$10),H47,0)+IF(AND('Your debts'!$F$7&lt;&gt;"",'Your debts'!$F$10&lt;&gt;"",'Your debts'!$F$7&lt;'Your debts'!$F$10),M47,0)+IF(AND('Your debts'!$F$8&lt;&gt;"",'Your debts'!$F$10&lt;&gt;"",'Your debts'!$F$8&lt;'Your debts'!$F$10),R47,0)+IF(AND('Your debts'!$F$9&lt;&gt;"",'Your debts'!$F$10&lt;&gt;"",'Your debts'!$F$9&lt;'Your debts'!$F$10),W47,0)+IF(AND('Your debts'!$F$11&lt;&gt;"",'Your debts'!$F$10&lt;&gt;"",'Your debts'!$F$11&lt;'Your debts'!$F$10),AG47,0)+IF(AND('Your debts'!$F$12&lt;&gt;"",'Your debts'!$F$10&lt;&gt;"",'Your debts'!$F$12&lt;'Your debts'!$F$10),AL47,0)+IF(AND('Your debts'!$F$13&lt;&gt;"",'Your debts'!$F$10&lt;&gt;"",'Your debts'!$F$13&lt;'Your debts'!$F$10),AQ47,0)+IF(AND('Your debts'!$F$14&lt;&gt;"",'Your debts'!$F$10&lt;&gt;"",'Your debts'!$F$14&lt;'Your debts'!$F$10),AV47,0)+IF(AND('Your debts'!$F$15&lt;&gt;"",'Your debts'!$F$10&lt;&gt;"",'Your debts'!$F$15&lt;'Your debts'!$F$10),BA47,0)))))</f>
        <v/>
      </c>
      <c r="AD47" s="33">
        <f>AB47-AC47</f>
        <v/>
      </c>
      <c r="AE47" s="33">
        <f>IF(AI46&lt;=0,0,ROUND(AI46*(1+'Your debts'!$D$11/1200),2))</f>
        <v/>
      </c>
      <c r="AF47" s="33">
        <f>IF(AE47&lt;=0,0,MIN('Your debts'!$E$11,AE47))</f>
        <v/>
      </c>
      <c r="AG47" s="33">
        <f>AE47-AF47</f>
        <v/>
      </c>
      <c r="AH47" s="33">
        <f>IF('Your debts'!$F$11="",0,MIN(AG47,MAX(0,MAX(0,'Your debts'!$C$19-(G47+L47+Q47+V47+AA47+AF47+AK47+AP47+AU47+AZ47))-(IF(AND('Your debts'!$F$6&lt;&gt;"",'Your debts'!$F$11&lt;&gt;"",'Your debts'!$F$6&lt;'Your debts'!$F$11),H47,0)+IF(AND('Your debts'!$F$7&lt;&gt;"",'Your debts'!$F$11&lt;&gt;"",'Your debts'!$F$7&lt;'Your debts'!$F$11),M47,0)+IF(AND('Your debts'!$F$8&lt;&gt;"",'Your debts'!$F$11&lt;&gt;"",'Your debts'!$F$8&lt;'Your debts'!$F$11),R47,0)+IF(AND('Your debts'!$F$9&lt;&gt;"",'Your debts'!$F$11&lt;&gt;"",'Your debts'!$F$9&lt;'Your debts'!$F$11),W47,0)+IF(AND('Your debts'!$F$10&lt;&gt;"",'Your debts'!$F$11&lt;&gt;"",'Your debts'!$F$10&lt;'Your debts'!$F$11),AB47,0)+IF(AND('Your debts'!$F$12&lt;&gt;"",'Your debts'!$F$11&lt;&gt;"",'Your debts'!$F$12&lt;'Your debts'!$F$11),AL47,0)+IF(AND('Your debts'!$F$13&lt;&gt;"",'Your debts'!$F$11&lt;&gt;"",'Your debts'!$F$13&lt;'Your debts'!$F$11),AQ47,0)+IF(AND('Your debts'!$F$14&lt;&gt;"",'Your debts'!$F$11&lt;&gt;"",'Your debts'!$F$14&lt;'Your debts'!$F$11),AV47,0)+IF(AND('Your debts'!$F$15&lt;&gt;"",'Your debts'!$F$11&lt;&gt;"",'Your debts'!$F$15&lt;'Your debts'!$F$11),BA47,0)))))</f>
        <v/>
      </c>
      <c r="AI47" s="33">
        <f>AG47-AH47</f>
        <v/>
      </c>
      <c r="AJ47" s="33">
        <f>IF(AN46&lt;=0,0,ROUND(AN46*(1+'Your debts'!$D$12/1200),2))</f>
        <v/>
      </c>
      <c r="AK47" s="33">
        <f>IF(AJ47&lt;=0,0,MIN('Your debts'!$E$12,AJ47))</f>
        <v/>
      </c>
      <c r="AL47" s="33">
        <f>AJ47-AK47</f>
        <v/>
      </c>
      <c r="AM47" s="33">
        <f>IF('Your debts'!$F$12="",0,MIN(AL47,MAX(0,MAX(0,'Your debts'!$C$19-(G47+L47+Q47+V47+AA47+AF47+AK47+AP47+AU47+AZ47))-(IF(AND('Your debts'!$F$6&lt;&gt;"",'Your debts'!$F$12&lt;&gt;"",'Your debts'!$F$6&lt;'Your debts'!$F$12),H47,0)+IF(AND('Your debts'!$F$7&lt;&gt;"",'Your debts'!$F$12&lt;&gt;"",'Your debts'!$F$7&lt;'Your debts'!$F$12),M47,0)+IF(AND('Your debts'!$F$8&lt;&gt;"",'Your debts'!$F$12&lt;&gt;"",'Your debts'!$F$8&lt;'Your debts'!$F$12),R47,0)+IF(AND('Your debts'!$F$9&lt;&gt;"",'Your debts'!$F$12&lt;&gt;"",'Your debts'!$F$9&lt;'Your debts'!$F$12),W47,0)+IF(AND('Your debts'!$F$10&lt;&gt;"",'Your debts'!$F$12&lt;&gt;"",'Your debts'!$F$10&lt;'Your debts'!$F$12),AB47,0)+IF(AND('Your debts'!$F$11&lt;&gt;"",'Your debts'!$F$12&lt;&gt;"",'Your debts'!$F$11&lt;'Your debts'!$F$12),AG47,0)+IF(AND('Your debts'!$F$13&lt;&gt;"",'Your debts'!$F$12&lt;&gt;"",'Your debts'!$F$13&lt;'Your debts'!$F$12),AQ47,0)+IF(AND('Your debts'!$F$14&lt;&gt;"",'Your debts'!$F$12&lt;&gt;"",'Your debts'!$F$14&lt;'Your debts'!$F$12),AV47,0)+IF(AND('Your debts'!$F$15&lt;&gt;"",'Your debts'!$F$12&lt;&gt;"",'Your debts'!$F$15&lt;'Your debts'!$F$12),BA47,0)))))</f>
        <v/>
      </c>
      <c r="AN47" s="33">
        <f>AL47-AM47</f>
        <v/>
      </c>
      <c r="AO47" s="33">
        <f>IF(AS46&lt;=0,0,ROUND(AS46*(1+'Your debts'!$D$13/1200),2))</f>
        <v/>
      </c>
      <c r="AP47" s="33">
        <f>IF(AO47&lt;=0,0,MIN('Your debts'!$E$13,AO47))</f>
        <v/>
      </c>
      <c r="AQ47" s="33">
        <f>AO47-AP47</f>
        <v/>
      </c>
      <c r="AR47" s="33">
        <f>IF('Your debts'!$F$13="",0,MIN(AQ47,MAX(0,MAX(0,'Your debts'!$C$19-(G47+L47+Q47+V47+AA47+AF47+AK47+AP47+AU47+AZ47))-(IF(AND('Your debts'!$F$6&lt;&gt;"",'Your debts'!$F$13&lt;&gt;"",'Your debts'!$F$6&lt;'Your debts'!$F$13),H47,0)+IF(AND('Your debts'!$F$7&lt;&gt;"",'Your debts'!$F$13&lt;&gt;"",'Your debts'!$F$7&lt;'Your debts'!$F$13),M47,0)+IF(AND('Your debts'!$F$8&lt;&gt;"",'Your debts'!$F$13&lt;&gt;"",'Your debts'!$F$8&lt;'Your debts'!$F$13),R47,0)+IF(AND('Your debts'!$F$9&lt;&gt;"",'Your debts'!$F$13&lt;&gt;"",'Your debts'!$F$9&lt;'Your debts'!$F$13),W47,0)+IF(AND('Your debts'!$F$10&lt;&gt;"",'Your debts'!$F$13&lt;&gt;"",'Your debts'!$F$10&lt;'Your debts'!$F$13),AB47,0)+IF(AND('Your debts'!$F$11&lt;&gt;"",'Your debts'!$F$13&lt;&gt;"",'Your debts'!$F$11&lt;'Your debts'!$F$13),AG47,0)+IF(AND('Your debts'!$F$12&lt;&gt;"",'Your debts'!$F$13&lt;&gt;"",'Your debts'!$F$12&lt;'Your debts'!$F$13),AL47,0)+IF(AND('Your debts'!$F$14&lt;&gt;"",'Your debts'!$F$13&lt;&gt;"",'Your debts'!$F$14&lt;'Your debts'!$F$13),AV47,0)+IF(AND('Your debts'!$F$15&lt;&gt;"",'Your debts'!$F$13&lt;&gt;"",'Your debts'!$F$15&lt;'Your debts'!$F$13),BA47,0)))))</f>
        <v/>
      </c>
      <c r="AS47" s="33">
        <f>AQ47-AR47</f>
        <v/>
      </c>
      <c r="AT47" s="33">
        <f>IF(AX46&lt;=0,0,ROUND(AX46*(1+'Your debts'!$D$14/1200),2))</f>
        <v/>
      </c>
      <c r="AU47" s="33">
        <f>IF(AT47&lt;=0,0,MIN('Your debts'!$E$14,AT47))</f>
        <v/>
      </c>
      <c r="AV47" s="33">
        <f>AT47-AU47</f>
        <v/>
      </c>
      <c r="AW47" s="33">
        <f>IF('Your debts'!$F$14="",0,MIN(AV47,MAX(0,MAX(0,'Your debts'!$C$19-(G47+L47+Q47+V47+AA47+AF47+AK47+AP47+AU47+AZ47))-(IF(AND('Your debts'!$F$6&lt;&gt;"",'Your debts'!$F$14&lt;&gt;"",'Your debts'!$F$6&lt;'Your debts'!$F$14),H47,0)+IF(AND('Your debts'!$F$7&lt;&gt;"",'Your debts'!$F$14&lt;&gt;"",'Your debts'!$F$7&lt;'Your debts'!$F$14),M47,0)+IF(AND('Your debts'!$F$8&lt;&gt;"",'Your debts'!$F$14&lt;&gt;"",'Your debts'!$F$8&lt;'Your debts'!$F$14),R47,0)+IF(AND('Your debts'!$F$9&lt;&gt;"",'Your debts'!$F$14&lt;&gt;"",'Your debts'!$F$9&lt;'Your debts'!$F$14),W47,0)+IF(AND('Your debts'!$F$10&lt;&gt;"",'Your debts'!$F$14&lt;&gt;"",'Your debts'!$F$10&lt;'Your debts'!$F$14),AB47,0)+IF(AND('Your debts'!$F$11&lt;&gt;"",'Your debts'!$F$14&lt;&gt;"",'Your debts'!$F$11&lt;'Your debts'!$F$14),AG47,0)+IF(AND('Your debts'!$F$12&lt;&gt;"",'Your debts'!$F$14&lt;&gt;"",'Your debts'!$F$12&lt;'Your debts'!$F$14),AL47,0)+IF(AND('Your debts'!$F$13&lt;&gt;"",'Your debts'!$F$14&lt;&gt;"",'Your debts'!$F$13&lt;'Your debts'!$F$14),AQ47,0)+IF(AND('Your debts'!$F$15&lt;&gt;"",'Your debts'!$F$14&lt;&gt;"",'Your debts'!$F$15&lt;'Your debts'!$F$14),BA47,0)))))</f>
        <v/>
      </c>
      <c r="AX47" s="33">
        <f>AV47-AW47</f>
        <v/>
      </c>
      <c r="AY47" s="33">
        <f>IF(BC46&lt;=0,0,ROUND(BC46*(1+'Your debts'!$D$15/1200),2))</f>
        <v/>
      </c>
      <c r="AZ47" s="33">
        <f>IF(AY47&lt;=0,0,MIN('Your debts'!$E$15,AY47))</f>
        <v/>
      </c>
      <c r="BA47" s="33">
        <f>AY47-AZ47</f>
        <v/>
      </c>
      <c r="BB47" s="33">
        <f>IF('Your debts'!$F$15="",0,MIN(BA47,MAX(0,MAX(0,'Your debts'!$C$19-(G47+L47+Q47+V47+AA47+AF47+AK47+AP47+AU47+AZ47))-(IF(AND('Your debts'!$F$6&lt;&gt;"",'Your debts'!$F$15&lt;&gt;"",'Your debts'!$F$6&lt;'Your debts'!$F$15),H47,0)+IF(AND('Your debts'!$F$7&lt;&gt;"",'Your debts'!$F$15&lt;&gt;"",'Your debts'!$F$7&lt;'Your debts'!$F$15),M47,0)+IF(AND('Your debts'!$F$8&lt;&gt;"",'Your debts'!$F$15&lt;&gt;"",'Your debts'!$F$8&lt;'Your debts'!$F$15),R47,0)+IF(AND('Your debts'!$F$9&lt;&gt;"",'Your debts'!$F$15&lt;&gt;"",'Your debts'!$F$9&lt;'Your debts'!$F$15),W47,0)+IF(AND('Your debts'!$F$10&lt;&gt;"",'Your debts'!$F$15&lt;&gt;"",'Your debts'!$F$10&lt;'Your debts'!$F$15),AB47,0)+IF(AND('Your debts'!$F$11&lt;&gt;"",'Your debts'!$F$15&lt;&gt;"",'Your debts'!$F$11&lt;'Your debts'!$F$15),AG47,0)+IF(AND('Your debts'!$F$12&lt;&gt;"",'Your debts'!$F$15&lt;&gt;"",'Your debts'!$F$12&lt;'Your debts'!$F$15),AL47,0)+IF(AND('Your debts'!$F$13&lt;&gt;"",'Your debts'!$F$15&lt;&gt;"",'Your debts'!$F$13&lt;'Your debts'!$F$15),AQ47,0)+IF(AND('Your debts'!$F$14&lt;&gt;"",'Your debts'!$F$15&lt;&gt;"",'Your debts'!$F$14&lt;'Your debts'!$F$15),AV47,0)))))</f>
        <v/>
      </c>
      <c r="BC47" s="33">
        <f>BA47-BB47</f>
        <v/>
      </c>
    </row>
    <row r="48">
      <c r="A48" s="30" t="n">
        <v>33</v>
      </c>
      <c r="B48" s="31">
        <f>EDATE($B$15,33)</f>
        <v/>
      </c>
      <c r="C48" s="32">
        <f>IF(J47&lt;=0,0,F48-J47)+IF(O47&lt;=0,0,K48-O47)+IF(T47&lt;=0,0,P48-T47)+IF(Y47&lt;=0,0,U48-Y47)+IF(AD47&lt;=0,0,Z48-AD47)+IF(AI47&lt;=0,0,AE48-AI47)+IF(AN47&lt;=0,0,AJ48-AN47)+IF(AS47&lt;=0,0,AO48-AS47)+IF(AX47&lt;=0,0,AT48-AX47)+IF(BC47&lt;=0,0,AY48-BC47)</f>
        <v/>
      </c>
      <c r="D48" s="32">
        <f>G48+I48+L48+N48+Q48+S48+V48+X48+AA48+AC48+AF48+AH48+AK48+AM48+AP48+AR48+AU48+AW48+AZ48+BB48</f>
        <v/>
      </c>
      <c r="E48" s="32">
        <f>J48+O48+T48+Y48+AD48+AI48+AN48+AS48+AX48+BC48</f>
        <v/>
      </c>
      <c r="F48" s="33">
        <f>IF(J47&lt;=0,0,ROUND(J47*(1+'Your debts'!$D$6/1200),2))</f>
        <v/>
      </c>
      <c r="G48" s="33">
        <f>IF(F48&lt;=0,0,MIN('Your debts'!$E$6,F48))</f>
        <v/>
      </c>
      <c r="H48" s="33">
        <f>F48-G48</f>
        <v/>
      </c>
      <c r="I48" s="33">
        <f>IF('Your debts'!$F$6="",0,MIN(H48,MAX(0,MAX(0,'Your debts'!$C$19-(G48+L48+Q48+V48+AA48+AF48+AK48+AP48+AU48+AZ48))-(IF(AND('Your debts'!$F$7&lt;&gt;"",'Your debts'!$F$6&lt;&gt;"",'Your debts'!$F$7&lt;'Your debts'!$F$6),M48,0)+IF(AND('Your debts'!$F$8&lt;&gt;"",'Your debts'!$F$6&lt;&gt;"",'Your debts'!$F$8&lt;'Your debts'!$F$6),R48,0)+IF(AND('Your debts'!$F$9&lt;&gt;"",'Your debts'!$F$6&lt;&gt;"",'Your debts'!$F$9&lt;'Your debts'!$F$6),W48,0)+IF(AND('Your debts'!$F$10&lt;&gt;"",'Your debts'!$F$6&lt;&gt;"",'Your debts'!$F$10&lt;'Your debts'!$F$6),AB48,0)+IF(AND('Your debts'!$F$11&lt;&gt;"",'Your debts'!$F$6&lt;&gt;"",'Your debts'!$F$11&lt;'Your debts'!$F$6),AG48,0)+IF(AND('Your debts'!$F$12&lt;&gt;"",'Your debts'!$F$6&lt;&gt;"",'Your debts'!$F$12&lt;'Your debts'!$F$6),AL48,0)+IF(AND('Your debts'!$F$13&lt;&gt;"",'Your debts'!$F$6&lt;&gt;"",'Your debts'!$F$13&lt;'Your debts'!$F$6),AQ48,0)+IF(AND('Your debts'!$F$14&lt;&gt;"",'Your debts'!$F$6&lt;&gt;"",'Your debts'!$F$14&lt;'Your debts'!$F$6),AV48,0)+IF(AND('Your debts'!$F$15&lt;&gt;"",'Your debts'!$F$6&lt;&gt;"",'Your debts'!$F$15&lt;'Your debts'!$F$6),BA48,0)))))</f>
        <v/>
      </c>
      <c r="J48" s="33">
        <f>H48-I48</f>
        <v/>
      </c>
      <c r="K48" s="33">
        <f>IF(O47&lt;=0,0,ROUND(O47*(1+'Your debts'!$D$7/1200),2))</f>
        <v/>
      </c>
      <c r="L48" s="33">
        <f>IF(K48&lt;=0,0,MIN('Your debts'!$E$7,K48))</f>
        <v/>
      </c>
      <c r="M48" s="33">
        <f>K48-L48</f>
        <v/>
      </c>
      <c r="N48" s="33">
        <f>IF('Your debts'!$F$7="",0,MIN(M48,MAX(0,MAX(0,'Your debts'!$C$19-(G48+L48+Q48+V48+AA48+AF48+AK48+AP48+AU48+AZ48))-(IF(AND('Your debts'!$F$6&lt;&gt;"",'Your debts'!$F$7&lt;&gt;"",'Your debts'!$F$6&lt;'Your debts'!$F$7),H48,0)+IF(AND('Your debts'!$F$8&lt;&gt;"",'Your debts'!$F$7&lt;&gt;"",'Your debts'!$F$8&lt;'Your debts'!$F$7),R48,0)+IF(AND('Your debts'!$F$9&lt;&gt;"",'Your debts'!$F$7&lt;&gt;"",'Your debts'!$F$9&lt;'Your debts'!$F$7),W48,0)+IF(AND('Your debts'!$F$10&lt;&gt;"",'Your debts'!$F$7&lt;&gt;"",'Your debts'!$F$10&lt;'Your debts'!$F$7),AB48,0)+IF(AND('Your debts'!$F$11&lt;&gt;"",'Your debts'!$F$7&lt;&gt;"",'Your debts'!$F$11&lt;'Your debts'!$F$7),AG48,0)+IF(AND('Your debts'!$F$12&lt;&gt;"",'Your debts'!$F$7&lt;&gt;"",'Your debts'!$F$12&lt;'Your debts'!$F$7),AL48,0)+IF(AND('Your debts'!$F$13&lt;&gt;"",'Your debts'!$F$7&lt;&gt;"",'Your debts'!$F$13&lt;'Your debts'!$F$7),AQ48,0)+IF(AND('Your debts'!$F$14&lt;&gt;"",'Your debts'!$F$7&lt;&gt;"",'Your debts'!$F$14&lt;'Your debts'!$F$7),AV48,0)+IF(AND('Your debts'!$F$15&lt;&gt;"",'Your debts'!$F$7&lt;&gt;"",'Your debts'!$F$15&lt;'Your debts'!$F$7),BA48,0)))))</f>
        <v/>
      </c>
      <c r="O48" s="33">
        <f>M48-N48</f>
        <v/>
      </c>
      <c r="P48" s="33">
        <f>IF(T47&lt;=0,0,ROUND(T47*(1+'Your debts'!$D$8/1200),2))</f>
        <v/>
      </c>
      <c r="Q48" s="33">
        <f>IF(P48&lt;=0,0,MIN('Your debts'!$E$8,P48))</f>
        <v/>
      </c>
      <c r="R48" s="33">
        <f>P48-Q48</f>
        <v/>
      </c>
      <c r="S48" s="33">
        <f>IF('Your debts'!$F$8="",0,MIN(R48,MAX(0,MAX(0,'Your debts'!$C$19-(G48+L48+Q48+V48+AA48+AF48+AK48+AP48+AU48+AZ48))-(IF(AND('Your debts'!$F$6&lt;&gt;"",'Your debts'!$F$8&lt;&gt;"",'Your debts'!$F$6&lt;'Your debts'!$F$8),H48,0)+IF(AND('Your debts'!$F$7&lt;&gt;"",'Your debts'!$F$8&lt;&gt;"",'Your debts'!$F$7&lt;'Your debts'!$F$8),M48,0)+IF(AND('Your debts'!$F$9&lt;&gt;"",'Your debts'!$F$8&lt;&gt;"",'Your debts'!$F$9&lt;'Your debts'!$F$8),W48,0)+IF(AND('Your debts'!$F$10&lt;&gt;"",'Your debts'!$F$8&lt;&gt;"",'Your debts'!$F$10&lt;'Your debts'!$F$8),AB48,0)+IF(AND('Your debts'!$F$11&lt;&gt;"",'Your debts'!$F$8&lt;&gt;"",'Your debts'!$F$11&lt;'Your debts'!$F$8),AG48,0)+IF(AND('Your debts'!$F$12&lt;&gt;"",'Your debts'!$F$8&lt;&gt;"",'Your debts'!$F$12&lt;'Your debts'!$F$8),AL48,0)+IF(AND('Your debts'!$F$13&lt;&gt;"",'Your debts'!$F$8&lt;&gt;"",'Your debts'!$F$13&lt;'Your debts'!$F$8),AQ48,0)+IF(AND('Your debts'!$F$14&lt;&gt;"",'Your debts'!$F$8&lt;&gt;"",'Your debts'!$F$14&lt;'Your debts'!$F$8),AV48,0)+IF(AND('Your debts'!$F$15&lt;&gt;"",'Your debts'!$F$8&lt;&gt;"",'Your debts'!$F$15&lt;'Your debts'!$F$8),BA48,0)))))</f>
        <v/>
      </c>
      <c r="T48" s="33">
        <f>R48-S48</f>
        <v/>
      </c>
      <c r="U48" s="33">
        <f>IF(Y47&lt;=0,0,ROUND(Y47*(1+'Your debts'!$D$9/1200),2))</f>
        <v/>
      </c>
      <c r="V48" s="33">
        <f>IF(U48&lt;=0,0,MIN('Your debts'!$E$9,U48))</f>
        <v/>
      </c>
      <c r="W48" s="33">
        <f>U48-V48</f>
        <v/>
      </c>
      <c r="X48" s="33">
        <f>IF('Your debts'!$F$9="",0,MIN(W48,MAX(0,MAX(0,'Your debts'!$C$19-(G48+L48+Q48+V48+AA48+AF48+AK48+AP48+AU48+AZ48))-(IF(AND('Your debts'!$F$6&lt;&gt;"",'Your debts'!$F$9&lt;&gt;"",'Your debts'!$F$6&lt;'Your debts'!$F$9),H48,0)+IF(AND('Your debts'!$F$7&lt;&gt;"",'Your debts'!$F$9&lt;&gt;"",'Your debts'!$F$7&lt;'Your debts'!$F$9),M48,0)+IF(AND('Your debts'!$F$8&lt;&gt;"",'Your debts'!$F$9&lt;&gt;"",'Your debts'!$F$8&lt;'Your debts'!$F$9),R48,0)+IF(AND('Your debts'!$F$10&lt;&gt;"",'Your debts'!$F$9&lt;&gt;"",'Your debts'!$F$10&lt;'Your debts'!$F$9),AB48,0)+IF(AND('Your debts'!$F$11&lt;&gt;"",'Your debts'!$F$9&lt;&gt;"",'Your debts'!$F$11&lt;'Your debts'!$F$9),AG48,0)+IF(AND('Your debts'!$F$12&lt;&gt;"",'Your debts'!$F$9&lt;&gt;"",'Your debts'!$F$12&lt;'Your debts'!$F$9),AL48,0)+IF(AND('Your debts'!$F$13&lt;&gt;"",'Your debts'!$F$9&lt;&gt;"",'Your debts'!$F$13&lt;'Your debts'!$F$9),AQ48,0)+IF(AND('Your debts'!$F$14&lt;&gt;"",'Your debts'!$F$9&lt;&gt;"",'Your debts'!$F$14&lt;'Your debts'!$F$9),AV48,0)+IF(AND('Your debts'!$F$15&lt;&gt;"",'Your debts'!$F$9&lt;&gt;"",'Your debts'!$F$15&lt;'Your debts'!$F$9),BA48,0)))))</f>
        <v/>
      </c>
      <c r="Y48" s="33">
        <f>W48-X48</f>
        <v/>
      </c>
      <c r="Z48" s="33">
        <f>IF(AD47&lt;=0,0,ROUND(AD47*(1+'Your debts'!$D$10/1200),2))</f>
        <v/>
      </c>
      <c r="AA48" s="33">
        <f>IF(Z48&lt;=0,0,MIN('Your debts'!$E$10,Z48))</f>
        <v/>
      </c>
      <c r="AB48" s="33">
        <f>Z48-AA48</f>
        <v/>
      </c>
      <c r="AC48" s="33">
        <f>IF('Your debts'!$F$10="",0,MIN(AB48,MAX(0,MAX(0,'Your debts'!$C$19-(G48+L48+Q48+V48+AA48+AF48+AK48+AP48+AU48+AZ48))-(IF(AND('Your debts'!$F$6&lt;&gt;"",'Your debts'!$F$10&lt;&gt;"",'Your debts'!$F$6&lt;'Your debts'!$F$10),H48,0)+IF(AND('Your debts'!$F$7&lt;&gt;"",'Your debts'!$F$10&lt;&gt;"",'Your debts'!$F$7&lt;'Your debts'!$F$10),M48,0)+IF(AND('Your debts'!$F$8&lt;&gt;"",'Your debts'!$F$10&lt;&gt;"",'Your debts'!$F$8&lt;'Your debts'!$F$10),R48,0)+IF(AND('Your debts'!$F$9&lt;&gt;"",'Your debts'!$F$10&lt;&gt;"",'Your debts'!$F$9&lt;'Your debts'!$F$10),W48,0)+IF(AND('Your debts'!$F$11&lt;&gt;"",'Your debts'!$F$10&lt;&gt;"",'Your debts'!$F$11&lt;'Your debts'!$F$10),AG48,0)+IF(AND('Your debts'!$F$12&lt;&gt;"",'Your debts'!$F$10&lt;&gt;"",'Your debts'!$F$12&lt;'Your debts'!$F$10),AL48,0)+IF(AND('Your debts'!$F$13&lt;&gt;"",'Your debts'!$F$10&lt;&gt;"",'Your debts'!$F$13&lt;'Your debts'!$F$10),AQ48,0)+IF(AND('Your debts'!$F$14&lt;&gt;"",'Your debts'!$F$10&lt;&gt;"",'Your debts'!$F$14&lt;'Your debts'!$F$10),AV48,0)+IF(AND('Your debts'!$F$15&lt;&gt;"",'Your debts'!$F$10&lt;&gt;"",'Your debts'!$F$15&lt;'Your debts'!$F$10),BA48,0)))))</f>
        <v/>
      </c>
      <c r="AD48" s="33">
        <f>AB48-AC48</f>
        <v/>
      </c>
      <c r="AE48" s="33">
        <f>IF(AI47&lt;=0,0,ROUND(AI47*(1+'Your debts'!$D$11/1200),2))</f>
        <v/>
      </c>
      <c r="AF48" s="33">
        <f>IF(AE48&lt;=0,0,MIN('Your debts'!$E$11,AE48))</f>
        <v/>
      </c>
      <c r="AG48" s="33">
        <f>AE48-AF48</f>
        <v/>
      </c>
      <c r="AH48" s="33">
        <f>IF('Your debts'!$F$11="",0,MIN(AG48,MAX(0,MAX(0,'Your debts'!$C$19-(G48+L48+Q48+V48+AA48+AF48+AK48+AP48+AU48+AZ48))-(IF(AND('Your debts'!$F$6&lt;&gt;"",'Your debts'!$F$11&lt;&gt;"",'Your debts'!$F$6&lt;'Your debts'!$F$11),H48,0)+IF(AND('Your debts'!$F$7&lt;&gt;"",'Your debts'!$F$11&lt;&gt;"",'Your debts'!$F$7&lt;'Your debts'!$F$11),M48,0)+IF(AND('Your debts'!$F$8&lt;&gt;"",'Your debts'!$F$11&lt;&gt;"",'Your debts'!$F$8&lt;'Your debts'!$F$11),R48,0)+IF(AND('Your debts'!$F$9&lt;&gt;"",'Your debts'!$F$11&lt;&gt;"",'Your debts'!$F$9&lt;'Your debts'!$F$11),W48,0)+IF(AND('Your debts'!$F$10&lt;&gt;"",'Your debts'!$F$11&lt;&gt;"",'Your debts'!$F$10&lt;'Your debts'!$F$11),AB48,0)+IF(AND('Your debts'!$F$12&lt;&gt;"",'Your debts'!$F$11&lt;&gt;"",'Your debts'!$F$12&lt;'Your debts'!$F$11),AL48,0)+IF(AND('Your debts'!$F$13&lt;&gt;"",'Your debts'!$F$11&lt;&gt;"",'Your debts'!$F$13&lt;'Your debts'!$F$11),AQ48,0)+IF(AND('Your debts'!$F$14&lt;&gt;"",'Your debts'!$F$11&lt;&gt;"",'Your debts'!$F$14&lt;'Your debts'!$F$11),AV48,0)+IF(AND('Your debts'!$F$15&lt;&gt;"",'Your debts'!$F$11&lt;&gt;"",'Your debts'!$F$15&lt;'Your debts'!$F$11),BA48,0)))))</f>
        <v/>
      </c>
      <c r="AI48" s="33">
        <f>AG48-AH48</f>
        <v/>
      </c>
      <c r="AJ48" s="33">
        <f>IF(AN47&lt;=0,0,ROUND(AN47*(1+'Your debts'!$D$12/1200),2))</f>
        <v/>
      </c>
      <c r="AK48" s="33">
        <f>IF(AJ48&lt;=0,0,MIN('Your debts'!$E$12,AJ48))</f>
        <v/>
      </c>
      <c r="AL48" s="33">
        <f>AJ48-AK48</f>
        <v/>
      </c>
      <c r="AM48" s="33">
        <f>IF('Your debts'!$F$12="",0,MIN(AL48,MAX(0,MAX(0,'Your debts'!$C$19-(G48+L48+Q48+V48+AA48+AF48+AK48+AP48+AU48+AZ48))-(IF(AND('Your debts'!$F$6&lt;&gt;"",'Your debts'!$F$12&lt;&gt;"",'Your debts'!$F$6&lt;'Your debts'!$F$12),H48,0)+IF(AND('Your debts'!$F$7&lt;&gt;"",'Your debts'!$F$12&lt;&gt;"",'Your debts'!$F$7&lt;'Your debts'!$F$12),M48,0)+IF(AND('Your debts'!$F$8&lt;&gt;"",'Your debts'!$F$12&lt;&gt;"",'Your debts'!$F$8&lt;'Your debts'!$F$12),R48,0)+IF(AND('Your debts'!$F$9&lt;&gt;"",'Your debts'!$F$12&lt;&gt;"",'Your debts'!$F$9&lt;'Your debts'!$F$12),W48,0)+IF(AND('Your debts'!$F$10&lt;&gt;"",'Your debts'!$F$12&lt;&gt;"",'Your debts'!$F$10&lt;'Your debts'!$F$12),AB48,0)+IF(AND('Your debts'!$F$11&lt;&gt;"",'Your debts'!$F$12&lt;&gt;"",'Your debts'!$F$11&lt;'Your debts'!$F$12),AG48,0)+IF(AND('Your debts'!$F$13&lt;&gt;"",'Your debts'!$F$12&lt;&gt;"",'Your debts'!$F$13&lt;'Your debts'!$F$12),AQ48,0)+IF(AND('Your debts'!$F$14&lt;&gt;"",'Your debts'!$F$12&lt;&gt;"",'Your debts'!$F$14&lt;'Your debts'!$F$12),AV48,0)+IF(AND('Your debts'!$F$15&lt;&gt;"",'Your debts'!$F$12&lt;&gt;"",'Your debts'!$F$15&lt;'Your debts'!$F$12),BA48,0)))))</f>
        <v/>
      </c>
      <c r="AN48" s="33">
        <f>AL48-AM48</f>
        <v/>
      </c>
      <c r="AO48" s="33">
        <f>IF(AS47&lt;=0,0,ROUND(AS47*(1+'Your debts'!$D$13/1200),2))</f>
        <v/>
      </c>
      <c r="AP48" s="33">
        <f>IF(AO48&lt;=0,0,MIN('Your debts'!$E$13,AO48))</f>
        <v/>
      </c>
      <c r="AQ48" s="33">
        <f>AO48-AP48</f>
        <v/>
      </c>
      <c r="AR48" s="33">
        <f>IF('Your debts'!$F$13="",0,MIN(AQ48,MAX(0,MAX(0,'Your debts'!$C$19-(G48+L48+Q48+V48+AA48+AF48+AK48+AP48+AU48+AZ48))-(IF(AND('Your debts'!$F$6&lt;&gt;"",'Your debts'!$F$13&lt;&gt;"",'Your debts'!$F$6&lt;'Your debts'!$F$13),H48,0)+IF(AND('Your debts'!$F$7&lt;&gt;"",'Your debts'!$F$13&lt;&gt;"",'Your debts'!$F$7&lt;'Your debts'!$F$13),M48,0)+IF(AND('Your debts'!$F$8&lt;&gt;"",'Your debts'!$F$13&lt;&gt;"",'Your debts'!$F$8&lt;'Your debts'!$F$13),R48,0)+IF(AND('Your debts'!$F$9&lt;&gt;"",'Your debts'!$F$13&lt;&gt;"",'Your debts'!$F$9&lt;'Your debts'!$F$13),W48,0)+IF(AND('Your debts'!$F$10&lt;&gt;"",'Your debts'!$F$13&lt;&gt;"",'Your debts'!$F$10&lt;'Your debts'!$F$13),AB48,0)+IF(AND('Your debts'!$F$11&lt;&gt;"",'Your debts'!$F$13&lt;&gt;"",'Your debts'!$F$11&lt;'Your debts'!$F$13),AG48,0)+IF(AND('Your debts'!$F$12&lt;&gt;"",'Your debts'!$F$13&lt;&gt;"",'Your debts'!$F$12&lt;'Your debts'!$F$13),AL48,0)+IF(AND('Your debts'!$F$14&lt;&gt;"",'Your debts'!$F$13&lt;&gt;"",'Your debts'!$F$14&lt;'Your debts'!$F$13),AV48,0)+IF(AND('Your debts'!$F$15&lt;&gt;"",'Your debts'!$F$13&lt;&gt;"",'Your debts'!$F$15&lt;'Your debts'!$F$13),BA48,0)))))</f>
        <v/>
      </c>
      <c r="AS48" s="33">
        <f>AQ48-AR48</f>
        <v/>
      </c>
      <c r="AT48" s="33">
        <f>IF(AX47&lt;=0,0,ROUND(AX47*(1+'Your debts'!$D$14/1200),2))</f>
        <v/>
      </c>
      <c r="AU48" s="33">
        <f>IF(AT48&lt;=0,0,MIN('Your debts'!$E$14,AT48))</f>
        <v/>
      </c>
      <c r="AV48" s="33">
        <f>AT48-AU48</f>
        <v/>
      </c>
      <c r="AW48" s="33">
        <f>IF('Your debts'!$F$14="",0,MIN(AV48,MAX(0,MAX(0,'Your debts'!$C$19-(G48+L48+Q48+V48+AA48+AF48+AK48+AP48+AU48+AZ48))-(IF(AND('Your debts'!$F$6&lt;&gt;"",'Your debts'!$F$14&lt;&gt;"",'Your debts'!$F$6&lt;'Your debts'!$F$14),H48,0)+IF(AND('Your debts'!$F$7&lt;&gt;"",'Your debts'!$F$14&lt;&gt;"",'Your debts'!$F$7&lt;'Your debts'!$F$14),M48,0)+IF(AND('Your debts'!$F$8&lt;&gt;"",'Your debts'!$F$14&lt;&gt;"",'Your debts'!$F$8&lt;'Your debts'!$F$14),R48,0)+IF(AND('Your debts'!$F$9&lt;&gt;"",'Your debts'!$F$14&lt;&gt;"",'Your debts'!$F$9&lt;'Your debts'!$F$14),W48,0)+IF(AND('Your debts'!$F$10&lt;&gt;"",'Your debts'!$F$14&lt;&gt;"",'Your debts'!$F$10&lt;'Your debts'!$F$14),AB48,0)+IF(AND('Your debts'!$F$11&lt;&gt;"",'Your debts'!$F$14&lt;&gt;"",'Your debts'!$F$11&lt;'Your debts'!$F$14),AG48,0)+IF(AND('Your debts'!$F$12&lt;&gt;"",'Your debts'!$F$14&lt;&gt;"",'Your debts'!$F$12&lt;'Your debts'!$F$14),AL48,0)+IF(AND('Your debts'!$F$13&lt;&gt;"",'Your debts'!$F$14&lt;&gt;"",'Your debts'!$F$13&lt;'Your debts'!$F$14),AQ48,0)+IF(AND('Your debts'!$F$15&lt;&gt;"",'Your debts'!$F$14&lt;&gt;"",'Your debts'!$F$15&lt;'Your debts'!$F$14),BA48,0)))))</f>
        <v/>
      </c>
      <c r="AX48" s="33">
        <f>AV48-AW48</f>
        <v/>
      </c>
      <c r="AY48" s="33">
        <f>IF(BC47&lt;=0,0,ROUND(BC47*(1+'Your debts'!$D$15/1200),2))</f>
        <v/>
      </c>
      <c r="AZ48" s="33">
        <f>IF(AY48&lt;=0,0,MIN('Your debts'!$E$15,AY48))</f>
        <v/>
      </c>
      <c r="BA48" s="33">
        <f>AY48-AZ48</f>
        <v/>
      </c>
      <c r="BB48" s="33">
        <f>IF('Your debts'!$F$15="",0,MIN(BA48,MAX(0,MAX(0,'Your debts'!$C$19-(G48+L48+Q48+V48+AA48+AF48+AK48+AP48+AU48+AZ48))-(IF(AND('Your debts'!$F$6&lt;&gt;"",'Your debts'!$F$15&lt;&gt;"",'Your debts'!$F$6&lt;'Your debts'!$F$15),H48,0)+IF(AND('Your debts'!$F$7&lt;&gt;"",'Your debts'!$F$15&lt;&gt;"",'Your debts'!$F$7&lt;'Your debts'!$F$15),M48,0)+IF(AND('Your debts'!$F$8&lt;&gt;"",'Your debts'!$F$15&lt;&gt;"",'Your debts'!$F$8&lt;'Your debts'!$F$15),R48,0)+IF(AND('Your debts'!$F$9&lt;&gt;"",'Your debts'!$F$15&lt;&gt;"",'Your debts'!$F$9&lt;'Your debts'!$F$15),W48,0)+IF(AND('Your debts'!$F$10&lt;&gt;"",'Your debts'!$F$15&lt;&gt;"",'Your debts'!$F$10&lt;'Your debts'!$F$15),AB48,0)+IF(AND('Your debts'!$F$11&lt;&gt;"",'Your debts'!$F$15&lt;&gt;"",'Your debts'!$F$11&lt;'Your debts'!$F$15),AG48,0)+IF(AND('Your debts'!$F$12&lt;&gt;"",'Your debts'!$F$15&lt;&gt;"",'Your debts'!$F$12&lt;'Your debts'!$F$15),AL48,0)+IF(AND('Your debts'!$F$13&lt;&gt;"",'Your debts'!$F$15&lt;&gt;"",'Your debts'!$F$13&lt;'Your debts'!$F$15),AQ48,0)+IF(AND('Your debts'!$F$14&lt;&gt;"",'Your debts'!$F$15&lt;&gt;"",'Your debts'!$F$14&lt;'Your debts'!$F$15),AV48,0)))))</f>
        <v/>
      </c>
      <c r="BC48" s="33">
        <f>BA48-BB48</f>
        <v/>
      </c>
    </row>
    <row r="49">
      <c r="A49" s="30" t="n">
        <v>34</v>
      </c>
      <c r="B49" s="31">
        <f>EDATE($B$15,34)</f>
        <v/>
      </c>
      <c r="C49" s="32">
        <f>IF(J48&lt;=0,0,F49-J48)+IF(O48&lt;=0,0,K49-O48)+IF(T48&lt;=0,0,P49-T48)+IF(Y48&lt;=0,0,U49-Y48)+IF(AD48&lt;=0,0,Z49-AD48)+IF(AI48&lt;=0,0,AE49-AI48)+IF(AN48&lt;=0,0,AJ49-AN48)+IF(AS48&lt;=0,0,AO49-AS48)+IF(AX48&lt;=0,0,AT49-AX48)+IF(BC48&lt;=0,0,AY49-BC48)</f>
        <v/>
      </c>
      <c r="D49" s="32">
        <f>G49+I49+L49+N49+Q49+S49+V49+X49+AA49+AC49+AF49+AH49+AK49+AM49+AP49+AR49+AU49+AW49+AZ49+BB49</f>
        <v/>
      </c>
      <c r="E49" s="32">
        <f>J49+O49+T49+Y49+AD49+AI49+AN49+AS49+AX49+BC49</f>
        <v/>
      </c>
      <c r="F49" s="33">
        <f>IF(J48&lt;=0,0,ROUND(J48*(1+'Your debts'!$D$6/1200),2))</f>
        <v/>
      </c>
      <c r="G49" s="33">
        <f>IF(F49&lt;=0,0,MIN('Your debts'!$E$6,F49))</f>
        <v/>
      </c>
      <c r="H49" s="33">
        <f>F49-G49</f>
        <v/>
      </c>
      <c r="I49" s="33">
        <f>IF('Your debts'!$F$6="",0,MIN(H49,MAX(0,MAX(0,'Your debts'!$C$19-(G49+L49+Q49+V49+AA49+AF49+AK49+AP49+AU49+AZ49))-(IF(AND('Your debts'!$F$7&lt;&gt;"",'Your debts'!$F$6&lt;&gt;"",'Your debts'!$F$7&lt;'Your debts'!$F$6),M49,0)+IF(AND('Your debts'!$F$8&lt;&gt;"",'Your debts'!$F$6&lt;&gt;"",'Your debts'!$F$8&lt;'Your debts'!$F$6),R49,0)+IF(AND('Your debts'!$F$9&lt;&gt;"",'Your debts'!$F$6&lt;&gt;"",'Your debts'!$F$9&lt;'Your debts'!$F$6),W49,0)+IF(AND('Your debts'!$F$10&lt;&gt;"",'Your debts'!$F$6&lt;&gt;"",'Your debts'!$F$10&lt;'Your debts'!$F$6),AB49,0)+IF(AND('Your debts'!$F$11&lt;&gt;"",'Your debts'!$F$6&lt;&gt;"",'Your debts'!$F$11&lt;'Your debts'!$F$6),AG49,0)+IF(AND('Your debts'!$F$12&lt;&gt;"",'Your debts'!$F$6&lt;&gt;"",'Your debts'!$F$12&lt;'Your debts'!$F$6),AL49,0)+IF(AND('Your debts'!$F$13&lt;&gt;"",'Your debts'!$F$6&lt;&gt;"",'Your debts'!$F$13&lt;'Your debts'!$F$6),AQ49,0)+IF(AND('Your debts'!$F$14&lt;&gt;"",'Your debts'!$F$6&lt;&gt;"",'Your debts'!$F$14&lt;'Your debts'!$F$6),AV49,0)+IF(AND('Your debts'!$F$15&lt;&gt;"",'Your debts'!$F$6&lt;&gt;"",'Your debts'!$F$15&lt;'Your debts'!$F$6),BA49,0)))))</f>
        <v/>
      </c>
      <c r="J49" s="33">
        <f>H49-I49</f>
        <v/>
      </c>
      <c r="K49" s="33">
        <f>IF(O48&lt;=0,0,ROUND(O48*(1+'Your debts'!$D$7/1200),2))</f>
        <v/>
      </c>
      <c r="L49" s="33">
        <f>IF(K49&lt;=0,0,MIN('Your debts'!$E$7,K49))</f>
        <v/>
      </c>
      <c r="M49" s="33">
        <f>K49-L49</f>
        <v/>
      </c>
      <c r="N49" s="33">
        <f>IF('Your debts'!$F$7="",0,MIN(M49,MAX(0,MAX(0,'Your debts'!$C$19-(G49+L49+Q49+V49+AA49+AF49+AK49+AP49+AU49+AZ49))-(IF(AND('Your debts'!$F$6&lt;&gt;"",'Your debts'!$F$7&lt;&gt;"",'Your debts'!$F$6&lt;'Your debts'!$F$7),H49,0)+IF(AND('Your debts'!$F$8&lt;&gt;"",'Your debts'!$F$7&lt;&gt;"",'Your debts'!$F$8&lt;'Your debts'!$F$7),R49,0)+IF(AND('Your debts'!$F$9&lt;&gt;"",'Your debts'!$F$7&lt;&gt;"",'Your debts'!$F$9&lt;'Your debts'!$F$7),W49,0)+IF(AND('Your debts'!$F$10&lt;&gt;"",'Your debts'!$F$7&lt;&gt;"",'Your debts'!$F$10&lt;'Your debts'!$F$7),AB49,0)+IF(AND('Your debts'!$F$11&lt;&gt;"",'Your debts'!$F$7&lt;&gt;"",'Your debts'!$F$11&lt;'Your debts'!$F$7),AG49,0)+IF(AND('Your debts'!$F$12&lt;&gt;"",'Your debts'!$F$7&lt;&gt;"",'Your debts'!$F$12&lt;'Your debts'!$F$7),AL49,0)+IF(AND('Your debts'!$F$13&lt;&gt;"",'Your debts'!$F$7&lt;&gt;"",'Your debts'!$F$13&lt;'Your debts'!$F$7),AQ49,0)+IF(AND('Your debts'!$F$14&lt;&gt;"",'Your debts'!$F$7&lt;&gt;"",'Your debts'!$F$14&lt;'Your debts'!$F$7),AV49,0)+IF(AND('Your debts'!$F$15&lt;&gt;"",'Your debts'!$F$7&lt;&gt;"",'Your debts'!$F$15&lt;'Your debts'!$F$7),BA49,0)))))</f>
        <v/>
      </c>
      <c r="O49" s="33">
        <f>M49-N49</f>
        <v/>
      </c>
      <c r="P49" s="33">
        <f>IF(T48&lt;=0,0,ROUND(T48*(1+'Your debts'!$D$8/1200),2))</f>
        <v/>
      </c>
      <c r="Q49" s="33">
        <f>IF(P49&lt;=0,0,MIN('Your debts'!$E$8,P49))</f>
        <v/>
      </c>
      <c r="R49" s="33">
        <f>P49-Q49</f>
        <v/>
      </c>
      <c r="S49" s="33">
        <f>IF('Your debts'!$F$8="",0,MIN(R49,MAX(0,MAX(0,'Your debts'!$C$19-(G49+L49+Q49+V49+AA49+AF49+AK49+AP49+AU49+AZ49))-(IF(AND('Your debts'!$F$6&lt;&gt;"",'Your debts'!$F$8&lt;&gt;"",'Your debts'!$F$6&lt;'Your debts'!$F$8),H49,0)+IF(AND('Your debts'!$F$7&lt;&gt;"",'Your debts'!$F$8&lt;&gt;"",'Your debts'!$F$7&lt;'Your debts'!$F$8),M49,0)+IF(AND('Your debts'!$F$9&lt;&gt;"",'Your debts'!$F$8&lt;&gt;"",'Your debts'!$F$9&lt;'Your debts'!$F$8),W49,0)+IF(AND('Your debts'!$F$10&lt;&gt;"",'Your debts'!$F$8&lt;&gt;"",'Your debts'!$F$10&lt;'Your debts'!$F$8),AB49,0)+IF(AND('Your debts'!$F$11&lt;&gt;"",'Your debts'!$F$8&lt;&gt;"",'Your debts'!$F$11&lt;'Your debts'!$F$8),AG49,0)+IF(AND('Your debts'!$F$12&lt;&gt;"",'Your debts'!$F$8&lt;&gt;"",'Your debts'!$F$12&lt;'Your debts'!$F$8),AL49,0)+IF(AND('Your debts'!$F$13&lt;&gt;"",'Your debts'!$F$8&lt;&gt;"",'Your debts'!$F$13&lt;'Your debts'!$F$8),AQ49,0)+IF(AND('Your debts'!$F$14&lt;&gt;"",'Your debts'!$F$8&lt;&gt;"",'Your debts'!$F$14&lt;'Your debts'!$F$8),AV49,0)+IF(AND('Your debts'!$F$15&lt;&gt;"",'Your debts'!$F$8&lt;&gt;"",'Your debts'!$F$15&lt;'Your debts'!$F$8),BA49,0)))))</f>
        <v/>
      </c>
      <c r="T49" s="33">
        <f>R49-S49</f>
        <v/>
      </c>
      <c r="U49" s="33">
        <f>IF(Y48&lt;=0,0,ROUND(Y48*(1+'Your debts'!$D$9/1200),2))</f>
        <v/>
      </c>
      <c r="V49" s="33">
        <f>IF(U49&lt;=0,0,MIN('Your debts'!$E$9,U49))</f>
        <v/>
      </c>
      <c r="W49" s="33">
        <f>U49-V49</f>
        <v/>
      </c>
      <c r="X49" s="33">
        <f>IF('Your debts'!$F$9="",0,MIN(W49,MAX(0,MAX(0,'Your debts'!$C$19-(G49+L49+Q49+V49+AA49+AF49+AK49+AP49+AU49+AZ49))-(IF(AND('Your debts'!$F$6&lt;&gt;"",'Your debts'!$F$9&lt;&gt;"",'Your debts'!$F$6&lt;'Your debts'!$F$9),H49,0)+IF(AND('Your debts'!$F$7&lt;&gt;"",'Your debts'!$F$9&lt;&gt;"",'Your debts'!$F$7&lt;'Your debts'!$F$9),M49,0)+IF(AND('Your debts'!$F$8&lt;&gt;"",'Your debts'!$F$9&lt;&gt;"",'Your debts'!$F$8&lt;'Your debts'!$F$9),R49,0)+IF(AND('Your debts'!$F$10&lt;&gt;"",'Your debts'!$F$9&lt;&gt;"",'Your debts'!$F$10&lt;'Your debts'!$F$9),AB49,0)+IF(AND('Your debts'!$F$11&lt;&gt;"",'Your debts'!$F$9&lt;&gt;"",'Your debts'!$F$11&lt;'Your debts'!$F$9),AG49,0)+IF(AND('Your debts'!$F$12&lt;&gt;"",'Your debts'!$F$9&lt;&gt;"",'Your debts'!$F$12&lt;'Your debts'!$F$9),AL49,0)+IF(AND('Your debts'!$F$13&lt;&gt;"",'Your debts'!$F$9&lt;&gt;"",'Your debts'!$F$13&lt;'Your debts'!$F$9),AQ49,0)+IF(AND('Your debts'!$F$14&lt;&gt;"",'Your debts'!$F$9&lt;&gt;"",'Your debts'!$F$14&lt;'Your debts'!$F$9),AV49,0)+IF(AND('Your debts'!$F$15&lt;&gt;"",'Your debts'!$F$9&lt;&gt;"",'Your debts'!$F$15&lt;'Your debts'!$F$9),BA49,0)))))</f>
        <v/>
      </c>
      <c r="Y49" s="33">
        <f>W49-X49</f>
        <v/>
      </c>
      <c r="Z49" s="33">
        <f>IF(AD48&lt;=0,0,ROUND(AD48*(1+'Your debts'!$D$10/1200),2))</f>
        <v/>
      </c>
      <c r="AA49" s="33">
        <f>IF(Z49&lt;=0,0,MIN('Your debts'!$E$10,Z49))</f>
        <v/>
      </c>
      <c r="AB49" s="33">
        <f>Z49-AA49</f>
        <v/>
      </c>
      <c r="AC49" s="33">
        <f>IF('Your debts'!$F$10="",0,MIN(AB49,MAX(0,MAX(0,'Your debts'!$C$19-(G49+L49+Q49+V49+AA49+AF49+AK49+AP49+AU49+AZ49))-(IF(AND('Your debts'!$F$6&lt;&gt;"",'Your debts'!$F$10&lt;&gt;"",'Your debts'!$F$6&lt;'Your debts'!$F$10),H49,0)+IF(AND('Your debts'!$F$7&lt;&gt;"",'Your debts'!$F$10&lt;&gt;"",'Your debts'!$F$7&lt;'Your debts'!$F$10),M49,0)+IF(AND('Your debts'!$F$8&lt;&gt;"",'Your debts'!$F$10&lt;&gt;"",'Your debts'!$F$8&lt;'Your debts'!$F$10),R49,0)+IF(AND('Your debts'!$F$9&lt;&gt;"",'Your debts'!$F$10&lt;&gt;"",'Your debts'!$F$9&lt;'Your debts'!$F$10),W49,0)+IF(AND('Your debts'!$F$11&lt;&gt;"",'Your debts'!$F$10&lt;&gt;"",'Your debts'!$F$11&lt;'Your debts'!$F$10),AG49,0)+IF(AND('Your debts'!$F$12&lt;&gt;"",'Your debts'!$F$10&lt;&gt;"",'Your debts'!$F$12&lt;'Your debts'!$F$10),AL49,0)+IF(AND('Your debts'!$F$13&lt;&gt;"",'Your debts'!$F$10&lt;&gt;"",'Your debts'!$F$13&lt;'Your debts'!$F$10),AQ49,0)+IF(AND('Your debts'!$F$14&lt;&gt;"",'Your debts'!$F$10&lt;&gt;"",'Your debts'!$F$14&lt;'Your debts'!$F$10),AV49,0)+IF(AND('Your debts'!$F$15&lt;&gt;"",'Your debts'!$F$10&lt;&gt;"",'Your debts'!$F$15&lt;'Your debts'!$F$10),BA49,0)))))</f>
        <v/>
      </c>
      <c r="AD49" s="33">
        <f>AB49-AC49</f>
        <v/>
      </c>
      <c r="AE49" s="33">
        <f>IF(AI48&lt;=0,0,ROUND(AI48*(1+'Your debts'!$D$11/1200),2))</f>
        <v/>
      </c>
      <c r="AF49" s="33">
        <f>IF(AE49&lt;=0,0,MIN('Your debts'!$E$11,AE49))</f>
        <v/>
      </c>
      <c r="AG49" s="33">
        <f>AE49-AF49</f>
        <v/>
      </c>
      <c r="AH49" s="33">
        <f>IF('Your debts'!$F$11="",0,MIN(AG49,MAX(0,MAX(0,'Your debts'!$C$19-(G49+L49+Q49+V49+AA49+AF49+AK49+AP49+AU49+AZ49))-(IF(AND('Your debts'!$F$6&lt;&gt;"",'Your debts'!$F$11&lt;&gt;"",'Your debts'!$F$6&lt;'Your debts'!$F$11),H49,0)+IF(AND('Your debts'!$F$7&lt;&gt;"",'Your debts'!$F$11&lt;&gt;"",'Your debts'!$F$7&lt;'Your debts'!$F$11),M49,0)+IF(AND('Your debts'!$F$8&lt;&gt;"",'Your debts'!$F$11&lt;&gt;"",'Your debts'!$F$8&lt;'Your debts'!$F$11),R49,0)+IF(AND('Your debts'!$F$9&lt;&gt;"",'Your debts'!$F$11&lt;&gt;"",'Your debts'!$F$9&lt;'Your debts'!$F$11),W49,0)+IF(AND('Your debts'!$F$10&lt;&gt;"",'Your debts'!$F$11&lt;&gt;"",'Your debts'!$F$10&lt;'Your debts'!$F$11),AB49,0)+IF(AND('Your debts'!$F$12&lt;&gt;"",'Your debts'!$F$11&lt;&gt;"",'Your debts'!$F$12&lt;'Your debts'!$F$11),AL49,0)+IF(AND('Your debts'!$F$13&lt;&gt;"",'Your debts'!$F$11&lt;&gt;"",'Your debts'!$F$13&lt;'Your debts'!$F$11),AQ49,0)+IF(AND('Your debts'!$F$14&lt;&gt;"",'Your debts'!$F$11&lt;&gt;"",'Your debts'!$F$14&lt;'Your debts'!$F$11),AV49,0)+IF(AND('Your debts'!$F$15&lt;&gt;"",'Your debts'!$F$11&lt;&gt;"",'Your debts'!$F$15&lt;'Your debts'!$F$11),BA49,0)))))</f>
        <v/>
      </c>
      <c r="AI49" s="33">
        <f>AG49-AH49</f>
        <v/>
      </c>
      <c r="AJ49" s="33">
        <f>IF(AN48&lt;=0,0,ROUND(AN48*(1+'Your debts'!$D$12/1200),2))</f>
        <v/>
      </c>
      <c r="AK49" s="33">
        <f>IF(AJ49&lt;=0,0,MIN('Your debts'!$E$12,AJ49))</f>
        <v/>
      </c>
      <c r="AL49" s="33">
        <f>AJ49-AK49</f>
        <v/>
      </c>
      <c r="AM49" s="33">
        <f>IF('Your debts'!$F$12="",0,MIN(AL49,MAX(0,MAX(0,'Your debts'!$C$19-(G49+L49+Q49+V49+AA49+AF49+AK49+AP49+AU49+AZ49))-(IF(AND('Your debts'!$F$6&lt;&gt;"",'Your debts'!$F$12&lt;&gt;"",'Your debts'!$F$6&lt;'Your debts'!$F$12),H49,0)+IF(AND('Your debts'!$F$7&lt;&gt;"",'Your debts'!$F$12&lt;&gt;"",'Your debts'!$F$7&lt;'Your debts'!$F$12),M49,0)+IF(AND('Your debts'!$F$8&lt;&gt;"",'Your debts'!$F$12&lt;&gt;"",'Your debts'!$F$8&lt;'Your debts'!$F$12),R49,0)+IF(AND('Your debts'!$F$9&lt;&gt;"",'Your debts'!$F$12&lt;&gt;"",'Your debts'!$F$9&lt;'Your debts'!$F$12),W49,0)+IF(AND('Your debts'!$F$10&lt;&gt;"",'Your debts'!$F$12&lt;&gt;"",'Your debts'!$F$10&lt;'Your debts'!$F$12),AB49,0)+IF(AND('Your debts'!$F$11&lt;&gt;"",'Your debts'!$F$12&lt;&gt;"",'Your debts'!$F$11&lt;'Your debts'!$F$12),AG49,0)+IF(AND('Your debts'!$F$13&lt;&gt;"",'Your debts'!$F$12&lt;&gt;"",'Your debts'!$F$13&lt;'Your debts'!$F$12),AQ49,0)+IF(AND('Your debts'!$F$14&lt;&gt;"",'Your debts'!$F$12&lt;&gt;"",'Your debts'!$F$14&lt;'Your debts'!$F$12),AV49,0)+IF(AND('Your debts'!$F$15&lt;&gt;"",'Your debts'!$F$12&lt;&gt;"",'Your debts'!$F$15&lt;'Your debts'!$F$12),BA49,0)))))</f>
        <v/>
      </c>
      <c r="AN49" s="33">
        <f>AL49-AM49</f>
        <v/>
      </c>
      <c r="AO49" s="33">
        <f>IF(AS48&lt;=0,0,ROUND(AS48*(1+'Your debts'!$D$13/1200),2))</f>
        <v/>
      </c>
      <c r="AP49" s="33">
        <f>IF(AO49&lt;=0,0,MIN('Your debts'!$E$13,AO49))</f>
        <v/>
      </c>
      <c r="AQ49" s="33">
        <f>AO49-AP49</f>
        <v/>
      </c>
      <c r="AR49" s="33">
        <f>IF('Your debts'!$F$13="",0,MIN(AQ49,MAX(0,MAX(0,'Your debts'!$C$19-(G49+L49+Q49+V49+AA49+AF49+AK49+AP49+AU49+AZ49))-(IF(AND('Your debts'!$F$6&lt;&gt;"",'Your debts'!$F$13&lt;&gt;"",'Your debts'!$F$6&lt;'Your debts'!$F$13),H49,0)+IF(AND('Your debts'!$F$7&lt;&gt;"",'Your debts'!$F$13&lt;&gt;"",'Your debts'!$F$7&lt;'Your debts'!$F$13),M49,0)+IF(AND('Your debts'!$F$8&lt;&gt;"",'Your debts'!$F$13&lt;&gt;"",'Your debts'!$F$8&lt;'Your debts'!$F$13),R49,0)+IF(AND('Your debts'!$F$9&lt;&gt;"",'Your debts'!$F$13&lt;&gt;"",'Your debts'!$F$9&lt;'Your debts'!$F$13),W49,0)+IF(AND('Your debts'!$F$10&lt;&gt;"",'Your debts'!$F$13&lt;&gt;"",'Your debts'!$F$10&lt;'Your debts'!$F$13),AB49,0)+IF(AND('Your debts'!$F$11&lt;&gt;"",'Your debts'!$F$13&lt;&gt;"",'Your debts'!$F$11&lt;'Your debts'!$F$13),AG49,0)+IF(AND('Your debts'!$F$12&lt;&gt;"",'Your debts'!$F$13&lt;&gt;"",'Your debts'!$F$12&lt;'Your debts'!$F$13),AL49,0)+IF(AND('Your debts'!$F$14&lt;&gt;"",'Your debts'!$F$13&lt;&gt;"",'Your debts'!$F$14&lt;'Your debts'!$F$13),AV49,0)+IF(AND('Your debts'!$F$15&lt;&gt;"",'Your debts'!$F$13&lt;&gt;"",'Your debts'!$F$15&lt;'Your debts'!$F$13),BA49,0)))))</f>
        <v/>
      </c>
      <c r="AS49" s="33">
        <f>AQ49-AR49</f>
        <v/>
      </c>
      <c r="AT49" s="33">
        <f>IF(AX48&lt;=0,0,ROUND(AX48*(1+'Your debts'!$D$14/1200),2))</f>
        <v/>
      </c>
      <c r="AU49" s="33">
        <f>IF(AT49&lt;=0,0,MIN('Your debts'!$E$14,AT49))</f>
        <v/>
      </c>
      <c r="AV49" s="33">
        <f>AT49-AU49</f>
        <v/>
      </c>
      <c r="AW49" s="33">
        <f>IF('Your debts'!$F$14="",0,MIN(AV49,MAX(0,MAX(0,'Your debts'!$C$19-(G49+L49+Q49+V49+AA49+AF49+AK49+AP49+AU49+AZ49))-(IF(AND('Your debts'!$F$6&lt;&gt;"",'Your debts'!$F$14&lt;&gt;"",'Your debts'!$F$6&lt;'Your debts'!$F$14),H49,0)+IF(AND('Your debts'!$F$7&lt;&gt;"",'Your debts'!$F$14&lt;&gt;"",'Your debts'!$F$7&lt;'Your debts'!$F$14),M49,0)+IF(AND('Your debts'!$F$8&lt;&gt;"",'Your debts'!$F$14&lt;&gt;"",'Your debts'!$F$8&lt;'Your debts'!$F$14),R49,0)+IF(AND('Your debts'!$F$9&lt;&gt;"",'Your debts'!$F$14&lt;&gt;"",'Your debts'!$F$9&lt;'Your debts'!$F$14),W49,0)+IF(AND('Your debts'!$F$10&lt;&gt;"",'Your debts'!$F$14&lt;&gt;"",'Your debts'!$F$10&lt;'Your debts'!$F$14),AB49,0)+IF(AND('Your debts'!$F$11&lt;&gt;"",'Your debts'!$F$14&lt;&gt;"",'Your debts'!$F$11&lt;'Your debts'!$F$14),AG49,0)+IF(AND('Your debts'!$F$12&lt;&gt;"",'Your debts'!$F$14&lt;&gt;"",'Your debts'!$F$12&lt;'Your debts'!$F$14),AL49,0)+IF(AND('Your debts'!$F$13&lt;&gt;"",'Your debts'!$F$14&lt;&gt;"",'Your debts'!$F$13&lt;'Your debts'!$F$14),AQ49,0)+IF(AND('Your debts'!$F$15&lt;&gt;"",'Your debts'!$F$14&lt;&gt;"",'Your debts'!$F$15&lt;'Your debts'!$F$14),BA49,0)))))</f>
        <v/>
      </c>
      <c r="AX49" s="33">
        <f>AV49-AW49</f>
        <v/>
      </c>
      <c r="AY49" s="33">
        <f>IF(BC48&lt;=0,0,ROUND(BC48*(1+'Your debts'!$D$15/1200),2))</f>
        <v/>
      </c>
      <c r="AZ49" s="33">
        <f>IF(AY49&lt;=0,0,MIN('Your debts'!$E$15,AY49))</f>
        <v/>
      </c>
      <c r="BA49" s="33">
        <f>AY49-AZ49</f>
        <v/>
      </c>
      <c r="BB49" s="33">
        <f>IF('Your debts'!$F$15="",0,MIN(BA49,MAX(0,MAX(0,'Your debts'!$C$19-(G49+L49+Q49+V49+AA49+AF49+AK49+AP49+AU49+AZ49))-(IF(AND('Your debts'!$F$6&lt;&gt;"",'Your debts'!$F$15&lt;&gt;"",'Your debts'!$F$6&lt;'Your debts'!$F$15),H49,0)+IF(AND('Your debts'!$F$7&lt;&gt;"",'Your debts'!$F$15&lt;&gt;"",'Your debts'!$F$7&lt;'Your debts'!$F$15),M49,0)+IF(AND('Your debts'!$F$8&lt;&gt;"",'Your debts'!$F$15&lt;&gt;"",'Your debts'!$F$8&lt;'Your debts'!$F$15),R49,0)+IF(AND('Your debts'!$F$9&lt;&gt;"",'Your debts'!$F$15&lt;&gt;"",'Your debts'!$F$9&lt;'Your debts'!$F$15),W49,0)+IF(AND('Your debts'!$F$10&lt;&gt;"",'Your debts'!$F$15&lt;&gt;"",'Your debts'!$F$10&lt;'Your debts'!$F$15),AB49,0)+IF(AND('Your debts'!$F$11&lt;&gt;"",'Your debts'!$F$15&lt;&gt;"",'Your debts'!$F$11&lt;'Your debts'!$F$15),AG49,0)+IF(AND('Your debts'!$F$12&lt;&gt;"",'Your debts'!$F$15&lt;&gt;"",'Your debts'!$F$12&lt;'Your debts'!$F$15),AL49,0)+IF(AND('Your debts'!$F$13&lt;&gt;"",'Your debts'!$F$15&lt;&gt;"",'Your debts'!$F$13&lt;'Your debts'!$F$15),AQ49,0)+IF(AND('Your debts'!$F$14&lt;&gt;"",'Your debts'!$F$15&lt;&gt;"",'Your debts'!$F$14&lt;'Your debts'!$F$15),AV49,0)))))</f>
        <v/>
      </c>
      <c r="BC49" s="33">
        <f>BA49-BB49</f>
        <v/>
      </c>
    </row>
    <row r="50">
      <c r="A50" s="30" t="n">
        <v>35</v>
      </c>
      <c r="B50" s="31">
        <f>EDATE($B$15,35)</f>
        <v/>
      </c>
      <c r="C50" s="32">
        <f>IF(J49&lt;=0,0,F50-J49)+IF(O49&lt;=0,0,K50-O49)+IF(T49&lt;=0,0,P50-T49)+IF(Y49&lt;=0,0,U50-Y49)+IF(AD49&lt;=0,0,Z50-AD49)+IF(AI49&lt;=0,0,AE50-AI49)+IF(AN49&lt;=0,0,AJ50-AN49)+IF(AS49&lt;=0,0,AO50-AS49)+IF(AX49&lt;=0,0,AT50-AX49)+IF(BC49&lt;=0,0,AY50-BC49)</f>
        <v/>
      </c>
      <c r="D50" s="32">
        <f>G50+I50+L50+N50+Q50+S50+V50+X50+AA50+AC50+AF50+AH50+AK50+AM50+AP50+AR50+AU50+AW50+AZ50+BB50</f>
        <v/>
      </c>
      <c r="E50" s="32">
        <f>J50+O50+T50+Y50+AD50+AI50+AN50+AS50+AX50+BC50</f>
        <v/>
      </c>
      <c r="F50" s="33">
        <f>IF(J49&lt;=0,0,ROUND(J49*(1+'Your debts'!$D$6/1200),2))</f>
        <v/>
      </c>
      <c r="G50" s="33">
        <f>IF(F50&lt;=0,0,MIN('Your debts'!$E$6,F50))</f>
        <v/>
      </c>
      <c r="H50" s="33">
        <f>F50-G50</f>
        <v/>
      </c>
      <c r="I50" s="33">
        <f>IF('Your debts'!$F$6="",0,MIN(H50,MAX(0,MAX(0,'Your debts'!$C$19-(G50+L50+Q50+V50+AA50+AF50+AK50+AP50+AU50+AZ50))-(IF(AND('Your debts'!$F$7&lt;&gt;"",'Your debts'!$F$6&lt;&gt;"",'Your debts'!$F$7&lt;'Your debts'!$F$6),M50,0)+IF(AND('Your debts'!$F$8&lt;&gt;"",'Your debts'!$F$6&lt;&gt;"",'Your debts'!$F$8&lt;'Your debts'!$F$6),R50,0)+IF(AND('Your debts'!$F$9&lt;&gt;"",'Your debts'!$F$6&lt;&gt;"",'Your debts'!$F$9&lt;'Your debts'!$F$6),W50,0)+IF(AND('Your debts'!$F$10&lt;&gt;"",'Your debts'!$F$6&lt;&gt;"",'Your debts'!$F$10&lt;'Your debts'!$F$6),AB50,0)+IF(AND('Your debts'!$F$11&lt;&gt;"",'Your debts'!$F$6&lt;&gt;"",'Your debts'!$F$11&lt;'Your debts'!$F$6),AG50,0)+IF(AND('Your debts'!$F$12&lt;&gt;"",'Your debts'!$F$6&lt;&gt;"",'Your debts'!$F$12&lt;'Your debts'!$F$6),AL50,0)+IF(AND('Your debts'!$F$13&lt;&gt;"",'Your debts'!$F$6&lt;&gt;"",'Your debts'!$F$13&lt;'Your debts'!$F$6),AQ50,0)+IF(AND('Your debts'!$F$14&lt;&gt;"",'Your debts'!$F$6&lt;&gt;"",'Your debts'!$F$14&lt;'Your debts'!$F$6),AV50,0)+IF(AND('Your debts'!$F$15&lt;&gt;"",'Your debts'!$F$6&lt;&gt;"",'Your debts'!$F$15&lt;'Your debts'!$F$6),BA50,0)))))</f>
        <v/>
      </c>
      <c r="J50" s="33">
        <f>H50-I50</f>
        <v/>
      </c>
      <c r="K50" s="33">
        <f>IF(O49&lt;=0,0,ROUND(O49*(1+'Your debts'!$D$7/1200),2))</f>
        <v/>
      </c>
      <c r="L50" s="33">
        <f>IF(K50&lt;=0,0,MIN('Your debts'!$E$7,K50))</f>
        <v/>
      </c>
      <c r="M50" s="33">
        <f>K50-L50</f>
        <v/>
      </c>
      <c r="N50" s="33">
        <f>IF('Your debts'!$F$7="",0,MIN(M50,MAX(0,MAX(0,'Your debts'!$C$19-(G50+L50+Q50+V50+AA50+AF50+AK50+AP50+AU50+AZ50))-(IF(AND('Your debts'!$F$6&lt;&gt;"",'Your debts'!$F$7&lt;&gt;"",'Your debts'!$F$6&lt;'Your debts'!$F$7),H50,0)+IF(AND('Your debts'!$F$8&lt;&gt;"",'Your debts'!$F$7&lt;&gt;"",'Your debts'!$F$8&lt;'Your debts'!$F$7),R50,0)+IF(AND('Your debts'!$F$9&lt;&gt;"",'Your debts'!$F$7&lt;&gt;"",'Your debts'!$F$9&lt;'Your debts'!$F$7),W50,0)+IF(AND('Your debts'!$F$10&lt;&gt;"",'Your debts'!$F$7&lt;&gt;"",'Your debts'!$F$10&lt;'Your debts'!$F$7),AB50,0)+IF(AND('Your debts'!$F$11&lt;&gt;"",'Your debts'!$F$7&lt;&gt;"",'Your debts'!$F$11&lt;'Your debts'!$F$7),AG50,0)+IF(AND('Your debts'!$F$12&lt;&gt;"",'Your debts'!$F$7&lt;&gt;"",'Your debts'!$F$12&lt;'Your debts'!$F$7),AL50,0)+IF(AND('Your debts'!$F$13&lt;&gt;"",'Your debts'!$F$7&lt;&gt;"",'Your debts'!$F$13&lt;'Your debts'!$F$7),AQ50,0)+IF(AND('Your debts'!$F$14&lt;&gt;"",'Your debts'!$F$7&lt;&gt;"",'Your debts'!$F$14&lt;'Your debts'!$F$7),AV50,0)+IF(AND('Your debts'!$F$15&lt;&gt;"",'Your debts'!$F$7&lt;&gt;"",'Your debts'!$F$15&lt;'Your debts'!$F$7),BA50,0)))))</f>
        <v/>
      </c>
      <c r="O50" s="33">
        <f>M50-N50</f>
        <v/>
      </c>
      <c r="P50" s="33">
        <f>IF(T49&lt;=0,0,ROUND(T49*(1+'Your debts'!$D$8/1200),2))</f>
        <v/>
      </c>
      <c r="Q50" s="33">
        <f>IF(P50&lt;=0,0,MIN('Your debts'!$E$8,P50))</f>
        <v/>
      </c>
      <c r="R50" s="33">
        <f>P50-Q50</f>
        <v/>
      </c>
      <c r="S50" s="33">
        <f>IF('Your debts'!$F$8="",0,MIN(R50,MAX(0,MAX(0,'Your debts'!$C$19-(G50+L50+Q50+V50+AA50+AF50+AK50+AP50+AU50+AZ50))-(IF(AND('Your debts'!$F$6&lt;&gt;"",'Your debts'!$F$8&lt;&gt;"",'Your debts'!$F$6&lt;'Your debts'!$F$8),H50,0)+IF(AND('Your debts'!$F$7&lt;&gt;"",'Your debts'!$F$8&lt;&gt;"",'Your debts'!$F$7&lt;'Your debts'!$F$8),M50,0)+IF(AND('Your debts'!$F$9&lt;&gt;"",'Your debts'!$F$8&lt;&gt;"",'Your debts'!$F$9&lt;'Your debts'!$F$8),W50,0)+IF(AND('Your debts'!$F$10&lt;&gt;"",'Your debts'!$F$8&lt;&gt;"",'Your debts'!$F$10&lt;'Your debts'!$F$8),AB50,0)+IF(AND('Your debts'!$F$11&lt;&gt;"",'Your debts'!$F$8&lt;&gt;"",'Your debts'!$F$11&lt;'Your debts'!$F$8),AG50,0)+IF(AND('Your debts'!$F$12&lt;&gt;"",'Your debts'!$F$8&lt;&gt;"",'Your debts'!$F$12&lt;'Your debts'!$F$8),AL50,0)+IF(AND('Your debts'!$F$13&lt;&gt;"",'Your debts'!$F$8&lt;&gt;"",'Your debts'!$F$13&lt;'Your debts'!$F$8),AQ50,0)+IF(AND('Your debts'!$F$14&lt;&gt;"",'Your debts'!$F$8&lt;&gt;"",'Your debts'!$F$14&lt;'Your debts'!$F$8),AV50,0)+IF(AND('Your debts'!$F$15&lt;&gt;"",'Your debts'!$F$8&lt;&gt;"",'Your debts'!$F$15&lt;'Your debts'!$F$8),BA50,0)))))</f>
        <v/>
      </c>
      <c r="T50" s="33">
        <f>R50-S50</f>
        <v/>
      </c>
      <c r="U50" s="33">
        <f>IF(Y49&lt;=0,0,ROUND(Y49*(1+'Your debts'!$D$9/1200),2))</f>
        <v/>
      </c>
      <c r="V50" s="33">
        <f>IF(U50&lt;=0,0,MIN('Your debts'!$E$9,U50))</f>
        <v/>
      </c>
      <c r="W50" s="33">
        <f>U50-V50</f>
        <v/>
      </c>
      <c r="X50" s="33">
        <f>IF('Your debts'!$F$9="",0,MIN(W50,MAX(0,MAX(0,'Your debts'!$C$19-(G50+L50+Q50+V50+AA50+AF50+AK50+AP50+AU50+AZ50))-(IF(AND('Your debts'!$F$6&lt;&gt;"",'Your debts'!$F$9&lt;&gt;"",'Your debts'!$F$6&lt;'Your debts'!$F$9),H50,0)+IF(AND('Your debts'!$F$7&lt;&gt;"",'Your debts'!$F$9&lt;&gt;"",'Your debts'!$F$7&lt;'Your debts'!$F$9),M50,0)+IF(AND('Your debts'!$F$8&lt;&gt;"",'Your debts'!$F$9&lt;&gt;"",'Your debts'!$F$8&lt;'Your debts'!$F$9),R50,0)+IF(AND('Your debts'!$F$10&lt;&gt;"",'Your debts'!$F$9&lt;&gt;"",'Your debts'!$F$10&lt;'Your debts'!$F$9),AB50,0)+IF(AND('Your debts'!$F$11&lt;&gt;"",'Your debts'!$F$9&lt;&gt;"",'Your debts'!$F$11&lt;'Your debts'!$F$9),AG50,0)+IF(AND('Your debts'!$F$12&lt;&gt;"",'Your debts'!$F$9&lt;&gt;"",'Your debts'!$F$12&lt;'Your debts'!$F$9),AL50,0)+IF(AND('Your debts'!$F$13&lt;&gt;"",'Your debts'!$F$9&lt;&gt;"",'Your debts'!$F$13&lt;'Your debts'!$F$9),AQ50,0)+IF(AND('Your debts'!$F$14&lt;&gt;"",'Your debts'!$F$9&lt;&gt;"",'Your debts'!$F$14&lt;'Your debts'!$F$9),AV50,0)+IF(AND('Your debts'!$F$15&lt;&gt;"",'Your debts'!$F$9&lt;&gt;"",'Your debts'!$F$15&lt;'Your debts'!$F$9),BA50,0)))))</f>
        <v/>
      </c>
      <c r="Y50" s="33">
        <f>W50-X50</f>
        <v/>
      </c>
      <c r="Z50" s="33">
        <f>IF(AD49&lt;=0,0,ROUND(AD49*(1+'Your debts'!$D$10/1200),2))</f>
        <v/>
      </c>
      <c r="AA50" s="33">
        <f>IF(Z50&lt;=0,0,MIN('Your debts'!$E$10,Z50))</f>
        <v/>
      </c>
      <c r="AB50" s="33">
        <f>Z50-AA50</f>
        <v/>
      </c>
      <c r="AC50" s="33">
        <f>IF('Your debts'!$F$10="",0,MIN(AB50,MAX(0,MAX(0,'Your debts'!$C$19-(G50+L50+Q50+V50+AA50+AF50+AK50+AP50+AU50+AZ50))-(IF(AND('Your debts'!$F$6&lt;&gt;"",'Your debts'!$F$10&lt;&gt;"",'Your debts'!$F$6&lt;'Your debts'!$F$10),H50,0)+IF(AND('Your debts'!$F$7&lt;&gt;"",'Your debts'!$F$10&lt;&gt;"",'Your debts'!$F$7&lt;'Your debts'!$F$10),M50,0)+IF(AND('Your debts'!$F$8&lt;&gt;"",'Your debts'!$F$10&lt;&gt;"",'Your debts'!$F$8&lt;'Your debts'!$F$10),R50,0)+IF(AND('Your debts'!$F$9&lt;&gt;"",'Your debts'!$F$10&lt;&gt;"",'Your debts'!$F$9&lt;'Your debts'!$F$10),W50,0)+IF(AND('Your debts'!$F$11&lt;&gt;"",'Your debts'!$F$10&lt;&gt;"",'Your debts'!$F$11&lt;'Your debts'!$F$10),AG50,0)+IF(AND('Your debts'!$F$12&lt;&gt;"",'Your debts'!$F$10&lt;&gt;"",'Your debts'!$F$12&lt;'Your debts'!$F$10),AL50,0)+IF(AND('Your debts'!$F$13&lt;&gt;"",'Your debts'!$F$10&lt;&gt;"",'Your debts'!$F$13&lt;'Your debts'!$F$10),AQ50,0)+IF(AND('Your debts'!$F$14&lt;&gt;"",'Your debts'!$F$10&lt;&gt;"",'Your debts'!$F$14&lt;'Your debts'!$F$10),AV50,0)+IF(AND('Your debts'!$F$15&lt;&gt;"",'Your debts'!$F$10&lt;&gt;"",'Your debts'!$F$15&lt;'Your debts'!$F$10),BA50,0)))))</f>
        <v/>
      </c>
      <c r="AD50" s="33">
        <f>AB50-AC50</f>
        <v/>
      </c>
      <c r="AE50" s="33">
        <f>IF(AI49&lt;=0,0,ROUND(AI49*(1+'Your debts'!$D$11/1200),2))</f>
        <v/>
      </c>
      <c r="AF50" s="33">
        <f>IF(AE50&lt;=0,0,MIN('Your debts'!$E$11,AE50))</f>
        <v/>
      </c>
      <c r="AG50" s="33">
        <f>AE50-AF50</f>
        <v/>
      </c>
      <c r="AH50" s="33">
        <f>IF('Your debts'!$F$11="",0,MIN(AG50,MAX(0,MAX(0,'Your debts'!$C$19-(G50+L50+Q50+V50+AA50+AF50+AK50+AP50+AU50+AZ50))-(IF(AND('Your debts'!$F$6&lt;&gt;"",'Your debts'!$F$11&lt;&gt;"",'Your debts'!$F$6&lt;'Your debts'!$F$11),H50,0)+IF(AND('Your debts'!$F$7&lt;&gt;"",'Your debts'!$F$11&lt;&gt;"",'Your debts'!$F$7&lt;'Your debts'!$F$11),M50,0)+IF(AND('Your debts'!$F$8&lt;&gt;"",'Your debts'!$F$11&lt;&gt;"",'Your debts'!$F$8&lt;'Your debts'!$F$11),R50,0)+IF(AND('Your debts'!$F$9&lt;&gt;"",'Your debts'!$F$11&lt;&gt;"",'Your debts'!$F$9&lt;'Your debts'!$F$11),W50,0)+IF(AND('Your debts'!$F$10&lt;&gt;"",'Your debts'!$F$11&lt;&gt;"",'Your debts'!$F$10&lt;'Your debts'!$F$11),AB50,0)+IF(AND('Your debts'!$F$12&lt;&gt;"",'Your debts'!$F$11&lt;&gt;"",'Your debts'!$F$12&lt;'Your debts'!$F$11),AL50,0)+IF(AND('Your debts'!$F$13&lt;&gt;"",'Your debts'!$F$11&lt;&gt;"",'Your debts'!$F$13&lt;'Your debts'!$F$11),AQ50,0)+IF(AND('Your debts'!$F$14&lt;&gt;"",'Your debts'!$F$11&lt;&gt;"",'Your debts'!$F$14&lt;'Your debts'!$F$11),AV50,0)+IF(AND('Your debts'!$F$15&lt;&gt;"",'Your debts'!$F$11&lt;&gt;"",'Your debts'!$F$15&lt;'Your debts'!$F$11),BA50,0)))))</f>
        <v/>
      </c>
      <c r="AI50" s="33">
        <f>AG50-AH50</f>
        <v/>
      </c>
      <c r="AJ50" s="33">
        <f>IF(AN49&lt;=0,0,ROUND(AN49*(1+'Your debts'!$D$12/1200),2))</f>
        <v/>
      </c>
      <c r="AK50" s="33">
        <f>IF(AJ50&lt;=0,0,MIN('Your debts'!$E$12,AJ50))</f>
        <v/>
      </c>
      <c r="AL50" s="33">
        <f>AJ50-AK50</f>
        <v/>
      </c>
      <c r="AM50" s="33">
        <f>IF('Your debts'!$F$12="",0,MIN(AL50,MAX(0,MAX(0,'Your debts'!$C$19-(G50+L50+Q50+V50+AA50+AF50+AK50+AP50+AU50+AZ50))-(IF(AND('Your debts'!$F$6&lt;&gt;"",'Your debts'!$F$12&lt;&gt;"",'Your debts'!$F$6&lt;'Your debts'!$F$12),H50,0)+IF(AND('Your debts'!$F$7&lt;&gt;"",'Your debts'!$F$12&lt;&gt;"",'Your debts'!$F$7&lt;'Your debts'!$F$12),M50,0)+IF(AND('Your debts'!$F$8&lt;&gt;"",'Your debts'!$F$12&lt;&gt;"",'Your debts'!$F$8&lt;'Your debts'!$F$12),R50,0)+IF(AND('Your debts'!$F$9&lt;&gt;"",'Your debts'!$F$12&lt;&gt;"",'Your debts'!$F$9&lt;'Your debts'!$F$12),W50,0)+IF(AND('Your debts'!$F$10&lt;&gt;"",'Your debts'!$F$12&lt;&gt;"",'Your debts'!$F$10&lt;'Your debts'!$F$12),AB50,0)+IF(AND('Your debts'!$F$11&lt;&gt;"",'Your debts'!$F$12&lt;&gt;"",'Your debts'!$F$11&lt;'Your debts'!$F$12),AG50,0)+IF(AND('Your debts'!$F$13&lt;&gt;"",'Your debts'!$F$12&lt;&gt;"",'Your debts'!$F$13&lt;'Your debts'!$F$12),AQ50,0)+IF(AND('Your debts'!$F$14&lt;&gt;"",'Your debts'!$F$12&lt;&gt;"",'Your debts'!$F$14&lt;'Your debts'!$F$12),AV50,0)+IF(AND('Your debts'!$F$15&lt;&gt;"",'Your debts'!$F$12&lt;&gt;"",'Your debts'!$F$15&lt;'Your debts'!$F$12),BA50,0)))))</f>
        <v/>
      </c>
      <c r="AN50" s="33">
        <f>AL50-AM50</f>
        <v/>
      </c>
      <c r="AO50" s="33">
        <f>IF(AS49&lt;=0,0,ROUND(AS49*(1+'Your debts'!$D$13/1200),2))</f>
        <v/>
      </c>
      <c r="AP50" s="33">
        <f>IF(AO50&lt;=0,0,MIN('Your debts'!$E$13,AO50))</f>
        <v/>
      </c>
      <c r="AQ50" s="33">
        <f>AO50-AP50</f>
        <v/>
      </c>
      <c r="AR50" s="33">
        <f>IF('Your debts'!$F$13="",0,MIN(AQ50,MAX(0,MAX(0,'Your debts'!$C$19-(G50+L50+Q50+V50+AA50+AF50+AK50+AP50+AU50+AZ50))-(IF(AND('Your debts'!$F$6&lt;&gt;"",'Your debts'!$F$13&lt;&gt;"",'Your debts'!$F$6&lt;'Your debts'!$F$13),H50,0)+IF(AND('Your debts'!$F$7&lt;&gt;"",'Your debts'!$F$13&lt;&gt;"",'Your debts'!$F$7&lt;'Your debts'!$F$13),M50,0)+IF(AND('Your debts'!$F$8&lt;&gt;"",'Your debts'!$F$13&lt;&gt;"",'Your debts'!$F$8&lt;'Your debts'!$F$13),R50,0)+IF(AND('Your debts'!$F$9&lt;&gt;"",'Your debts'!$F$13&lt;&gt;"",'Your debts'!$F$9&lt;'Your debts'!$F$13),W50,0)+IF(AND('Your debts'!$F$10&lt;&gt;"",'Your debts'!$F$13&lt;&gt;"",'Your debts'!$F$10&lt;'Your debts'!$F$13),AB50,0)+IF(AND('Your debts'!$F$11&lt;&gt;"",'Your debts'!$F$13&lt;&gt;"",'Your debts'!$F$11&lt;'Your debts'!$F$13),AG50,0)+IF(AND('Your debts'!$F$12&lt;&gt;"",'Your debts'!$F$13&lt;&gt;"",'Your debts'!$F$12&lt;'Your debts'!$F$13),AL50,0)+IF(AND('Your debts'!$F$14&lt;&gt;"",'Your debts'!$F$13&lt;&gt;"",'Your debts'!$F$14&lt;'Your debts'!$F$13),AV50,0)+IF(AND('Your debts'!$F$15&lt;&gt;"",'Your debts'!$F$13&lt;&gt;"",'Your debts'!$F$15&lt;'Your debts'!$F$13),BA50,0)))))</f>
        <v/>
      </c>
      <c r="AS50" s="33">
        <f>AQ50-AR50</f>
        <v/>
      </c>
      <c r="AT50" s="33">
        <f>IF(AX49&lt;=0,0,ROUND(AX49*(1+'Your debts'!$D$14/1200),2))</f>
        <v/>
      </c>
      <c r="AU50" s="33">
        <f>IF(AT50&lt;=0,0,MIN('Your debts'!$E$14,AT50))</f>
        <v/>
      </c>
      <c r="AV50" s="33">
        <f>AT50-AU50</f>
        <v/>
      </c>
      <c r="AW50" s="33">
        <f>IF('Your debts'!$F$14="",0,MIN(AV50,MAX(0,MAX(0,'Your debts'!$C$19-(G50+L50+Q50+V50+AA50+AF50+AK50+AP50+AU50+AZ50))-(IF(AND('Your debts'!$F$6&lt;&gt;"",'Your debts'!$F$14&lt;&gt;"",'Your debts'!$F$6&lt;'Your debts'!$F$14),H50,0)+IF(AND('Your debts'!$F$7&lt;&gt;"",'Your debts'!$F$14&lt;&gt;"",'Your debts'!$F$7&lt;'Your debts'!$F$14),M50,0)+IF(AND('Your debts'!$F$8&lt;&gt;"",'Your debts'!$F$14&lt;&gt;"",'Your debts'!$F$8&lt;'Your debts'!$F$14),R50,0)+IF(AND('Your debts'!$F$9&lt;&gt;"",'Your debts'!$F$14&lt;&gt;"",'Your debts'!$F$9&lt;'Your debts'!$F$14),W50,0)+IF(AND('Your debts'!$F$10&lt;&gt;"",'Your debts'!$F$14&lt;&gt;"",'Your debts'!$F$10&lt;'Your debts'!$F$14),AB50,0)+IF(AND('Your debts'!$F$11&lt;&gt;"",'Your debts'!$F$14&lt;&gt;"",'Your debts'!$F$11&lt;'Your debts'!$F$14),AG50,0)+IF(AND('Your debts'!$F$12&lt;&gt;"",'Your debts'!$F$14&lt;&gt;"",'Your debts'!$F$12&lt;'Your debts'!$F$14),AL50,0)+IF(AND('Your debts'!$F$13&lt;&gt;"",'Your debts'!$F$14&lt;&gt;"",'Your debts'!$F$13&lt;'Your debts'!$F$14),AQ50,0)+IF(AND('Your debts'!$F$15&lt;&gt;"",'Your debts'!$F$14&lt;&gt;"",'Your debts'!$F$15&lt;'Your debts'!$F$14),BA50,0)))))</f>
        <v/>
      </c>
      <c r="AX50" s="33">
        <f>AV50-AW50</f>
        <v/>
      </c>
      <c r="AY50" s="33">
        <f>IF(BC49&lt;=0,0,ROUND(BC49*(1+'Your debts'!$D$15/1200),2))</f>
        <v/>
      </c>
      <c r="AZ50" s="33">
        <f>IF(AY50&lt;=0,0,MIN('Your debts'!$E$15,AY50))</f>
        <v/>
      </c>
      <c r="BA50" s="33">
        <f>AY50-AZ50</f>
        <v/>
      </c>
      <c r="BB50" s="33">
        <f>IF('Your debts'!$F$15="",0,MIN(BA50,MAX(0,MAX(0,'Your debts'!$C$19-(G50+L50+Q50+V50+AA50+AF50+AK50+AP50+AU50+AZ50))-(IF(AND('Your debts'!$F$6&lt;&gt;"",'Your debts'!$F$15&lt;&gt;"",'Your debts'!$F$6&lt;'Your debts'!$F$15),H50,0)+IF(AND('Your debts'!$F$7&lt;&gt;"",'Your debts'!$F$15&lt;&gt;"",'Your debts'!$F$7&lt;'Your debts'!$F$15),M50,0)+IF(AND('Your debts'!$F$8&lt;&gt;"",'Your debts'!$F$15&lt;&gt;"",'Your debts'!$F$8&lt;'Your debts'!$F$15),R50,0)+IF(AND('Your debts'!$F$9&lt;&gt;"",'Your debts'!$F$15&lt;&gt;"",'Your debts'!$F$9&lt;'Your debts'!$F$15),W50,0)+IF(AND('Your debts'!$F$10&lt;&gt;"",'Your debts'!$F$15&lt;&gt;"",'Your debts'!$F$10&lt;'Your debts'!$F$15),AB50,0)+IF(AND('Your debts'!$F$11&lt;&gt;"",'Your debts'!$F$15&lt;&gt;"",'Your debts'!$F$11&lt;'Your debts'!$F$15),AG50,0)+IF(AND('Your debts'!$F$12&lt;&gt;"",'Your debts'!$F$15&lt;&gt;"",'Your debts'!$F$12&lt;'Your debts'!$F$15),AL50,0)+IF(AND('Your debts'!$F$13&lt;&gt;"",'Your debts'!$F$15&lt;&gt;"",'Your debts'!$F$13&lt;'Your debts'!$F$15),AQ50,0)+IF(AND('Your debts'!$F$14&lt;&gt;"",'Your debts'!$F$15&lt;&gt;"",'Your debts'!$F$14&lt;'Your debts'!$F$15),AV50,0)))))</f>
        <v/>
      </c>
      <c r="BC50" s="33">
        <f>BA50-BB50</f>
        <v/>
      </c>
    </row>
    <row r="51">
      <c r="A51" s="30" t="n">
        <v>36</v>
      </c>
      <c r="B51" s="31">
        <f>EDATE($B$15,36)</f>
        <v/>
      </c>
      <c r="C51" s="32">
        <f>IF(J50&lt;=0,0,F51-J50)+IF(O50&lt;=0,0,K51-O50)+IF(T50&lt;=0,0,P51-T50)+IF(Y50&lt;=0,0,U51-Y50)+IF(AD50&lt;=0,0,Z51-AD50)+IF(AI50&lt;=0,0,AE51-AI50)+IF(AN50&lt;=0,0,AJ51-AN50)+IF(AS50&lt;=0,0,AO51-AS50)+IF(AX50&lt;=0,0,AT51-AX50)+IF(BC50&lt;=0,0,AY51-BC50)</f>
        <v/>
      </c>
      <c r="D51" s="32">
        <f>G51+I51+L51+N51+Q51+S51+V51+X51+AA51+AC51+AF51+AH51+AK51+AM51+AP51+AR51+AU51+AW51+AZ51+BB51</f>
        <v/>
      </c>
      <c r="E51" s="32">
        <f>J51+O51+T51+Y51+AD51+AI51+AN51+AS51+AX51+BC51</f>
        <v/>
      </c>
      <c r="F51" s="33">
        <f>IF(J50&lt;=0,0,ROUND(J50*(1+'Your debts'!$D$6/1200),2))</f>
        <v/>
      </c>
      <c r="G51" s="33">
        <f>IF(F51&lt;=0,0,MIN('Your debts'!$E$6,F51))</f>
        <v/>
      </c>
      <c r="H51" s="33">
        <f>F51-G51</f>
        <v/>
      </c>
      <c r="I51" s="33">
        <f>IF('Your debts'!$F$6="",0,MIN(H51,MAX(0,MAX(0,'Your debts'!$C$19-(G51+L51+Q51+V51+AA51+AF51+AK51+AP51+AU51+AZ51))-(IF(AND('Your debts'!$F$7&lt;&gt;"",'Your debts'!$F$6&lt;&gt;"",'Your debts'!$F$7&lt;'Your debts'!$F$6),M51,0)+IF(AND('Your debts'!$F$8&lt;&gt;"",'Your debts'!$F$6&lt;&gt;"",'Your debts'!$F$8&lt;'Your debts'!$F$6),R51,0)+IF(AND('Your debts'!$F$9&lt;&gt;"",'Your debts'!$F$6&lt;&gt;"",'Your debts'!$F$9&lt;'Your debts'!$F$6),W51,0)+IF(AND('Your debts'!$F$10&lt;&gt;"",'Your debts'!$F$6&lt;&gt;"",'Your debts'!$F$10&lt;'Your debts'!$F$6),AB51,0)+IF(AND('Your debts'!$F$11&lt;&gt;"",'Your debts'!$F$6&lt;&gt;"",'Your debts'!$F$11&lt;'Your debts'!$F$6),AG51,0)+IF(AND('Your debts'!$F$12&lt;&gt;"",'Your debts'!$F$6&lt;&gt;"",'Your debts'!$F$12&lt;'Your debts'!$F$6),AL51,0)+IF(AND('Your debts'!$F$13&lt;&gt;"",'Your debts'!$F$6&lt;&gt;"",'Your debts'!$F$13&lt;'Your debts'!$F$6),AQ51,0)+IF(AND('Your debts'!$F$14&lt;&gt;"",'Your debts'!$F$6&lt;&gt;"",'Your debts'!$F$14&lt;'Your debts'!$F$6),AV51,0)+IF(AND('Your debts'!$F$15&lt;&gt;"",'Your debts'!$F$6&lt;&gt;"",'Your debts'!$F$15&lt;'Your debts'!$F$6),BA51,0)))))</f>
        <v/>
      </c>
      <c r="J51" s="33">
        <f>H51-I51</f>
        <v/>
      </c>
      <c r="K51" s="33">
        <f>IF(O50&lt;=0,0,ROUND(O50*(1+'Your debts'!$D$7/1200),2))</f>
        <v/>
      </c>
      <c r="L51" s="33">
        <f>IF(K51&lt;=0,0,MIN('Your debts'!$E$7,K51))</f>
        <v/>
      </c>
      <c r="M51" s="33">
        <f>K51-L51</f>
        <v/>
      </c>
      <c r="N51" s="33">
        <f>IF('Your debts'!$F$7="",0,MIN(M51,MAX(0,MAX(0,'Your debts'!$C$19-(G51+L51+Q51+V51+AA51+AF51+AK51+AP51+AU51+AZ51))-(IF(AND('Your debts'!$F$6&lt;&gt;"",'Your debts'!$F$7&lt;&gt;"",'Your debts'!$F$6&lt;'Your debts'!$F$7),H51,0)+IF(AND('Your debts'!$F$8&lt;&gt;"",'Your debts'!$F$7&lt;&gt;"",'Your debts'!$F$8&lt;'Your debts'!$F$7),R51,0)+IF(AND('Your debts'!$F$9&lt;&gt;"",'Your debts'!$F$7&lt;&gt;"",'Your debts'!$F$9&lt;'Your debts'!$F$7),W51,0)+IF(AND('Your debts'!$F$10&lt;&gt;"",'Your debts'!$F$7&lt;&gt;"",'Your debts'!$F$10&lt;'Your debts'!$F$7),AB51,0)+IF(AND('Your debts'!$F$11&lt;&gt;"",'Your debts'!$F$7&lt;&gt;"",'Your debts'!$F$11&lt;'Your debts'!$F$7),AG51,0)+IF(AND('Your debts'!$F$12&lt;&gt;"",'Your debts'!$F$7&lt;&gt;"",'Your debts'!$F$12&lt;'Your debts'!$F$7),AL51,0)+IF(AND('Your debts'!$F$13&lt;&gt;"",'Your debts'!$F$7&lt;&gt;"",'Your debts'!$F$13&lt;'Your debts'!$F$7),AQ51,0)+IF(AND('Your debts'!$F$14&lt;&gt;"",'Your debts'!$F$7&lt;&gt;"",'Your debts'!$F$14&lt;'Your debts'!$F$7),AV51,0)+IF(AND('Your debts'!$F$15&lt;&gt;"",'Your debts'!$F$7&lt;&gt;"",'Your debts'!$F$15&lt;'Your debts'!$F$7),BA51,0)))))</f>
        <v/>
      </c>
      <c r="O51" s="33">
        <f>M51-N51</f>
        <v/>
      </c>
      <c r="P51" s="33">
        <f>IF(T50&lt;=0,0,ROUND(T50*(1+'Your debts'!$D$8/1200),2))</f>
        <v/>
      </c>
      <c r="Q51" s="33">
        <f>IF(P51&lt;=0,0,MIN('Your debts'!$E$8,P51))</f>
        <v/>
      </c>
      <c r="R51" s="33">
        <f>P51-Q51</f>
        <v/>
      </c>
      <c r="S51" s="33">
        <f>IF('Your debts'!$F$8="",0,MIN(R51,MAX(0,MAX(0,'Your debts'!$C$19-(G51+L51+Q51+V51+AA51+AF51+AK51+AP51+AU51+AZ51))-(IF(AND('Your debts'!$F$6&lt;&gt;"",'Your debts'!$F$8&lt;&gt;"",'Your debts'!$F$6&lt;'Your debts'!$F$8),H51,0)+IF(AND('Your debts'!$F$7&lt;&gt;"",'Your debts'!$F$8&lt;&gt;"",'Your debts'!$F$7&lt;'Your debts'!$F$8),M51,0)+IF(AND('Your debts'!$F$9&lt;&gt;"",'Your debts'!$F$8&lt;&gt;"",'Your debts'!$F$9&lt;'Your debts'!$F$8),W51,0)+IF(AND('Your debts'!$F$10&lt;&gt;"",'Your debts'!$F$8&lt;&gt;"",'Your debts'!$F$10&lt;'Your debts'!$F$8),AB51,0)+IF(AND('Your debts'!$F$11&lt;&gt;"",'Your debts'!$F$8&lt;&gt;"",'Your debts'!$F$11&lt;'Your debts'!$F$8),AG51,0)+IF(AND('Your debts'!$F$12&lt;&gt;"",'Your debts'!$F$8&lt;&gt;"",'Your debts'!$F$12&lt;'Your debts'!$F$8),AL51,0)+IF(AND('Your debts'!$F$13&lt;&gt;"",'Your debts'!$F$8&lt;&gt;"",'Your debts'!$F$13&lt;'Your debts'!$F$8),AQ51,0)+IF(AND('Your debts'!$F$14&lt;&gt;"",'Your debts'!$F$8&lt;&gt;"",'Your debts'!$F$14&lt;'Your debts'!$F$8),AV51,0)+IF(AND('Your debts'!$F$15&lt;&gt;"",'Your debts'!$F$8&lt;&gt;"",'Your debts'!$F$15&lt;'Your debts'!$F$8),BA51,0)))))</f>
        <v/>
      </c>
      <c r="T51" s="33">
        <f>R51-S51</f>
        <v/>
      </c>
      <c r="U51" s="33">
        <f>IF(Y50&lt;=0,0,ROUND(Y50*(1+'Your debts'!$D$9/1200),2))</f>
        <v/>
      </c>
      <c r="V51" s="33">
        <f>IF(U51&lt;=0,0,MIN('Your debts'!$E$9,U51))</f>
        <v/>
      </c>
      <c r="W51" s="33">
        <f>U51-V51</f>
        <v/>
      </c>
      <c r="X51" s="33">
        <f>IF('Your debts'!$F$9="",0,MIN(W51,MAX(0,MAX(0,'Your debts'!$C$19-(G51+L51+Q51+V51+AA51+AF51+AK51+AP51+AU51+AZ51))-(IF(AND('Your debts'!$F$6&lt;&gt;"",'Your debts'!$F$9&lt;&gt;"",'Your debts'!$F$6&lt;'Your debts'!$F$9),H51,0)+IF(AND('Your debts'!$F$7&lt;&gt;"",'Your debts'!$F$9&lt;&gt;"",'Your debts'!$F$7&lt;'Your debts'!$F$9),M51,0)+IF(AND('Your debts'!$F$8&lt;&gt;"",'Your debts'!$F$9&lt;&gt;"",'Your debts'!$F$8&lt;'Your debts'!$F$9),R51,0)+IF(AND('Your debts'!$F$10&lt;&gt;"",'Your debts'!$F$9&lt;&gt;"",'Your debts'!$F$10&lt;'Your debts'!$F$9),AB51,0)+IF(AND('Your debts'!$F$11&lt;&gt;"",'Your debts'!$F$9&lt;&gt;"",'Your debts'!$F$11&lt;'Your debts'!$F$9),AG51,0)+IF(AND('Your debts'!$F$12&lt;&gt;"",'Your debts'!$F$9&lt;&gt;"",'Your debts'!$F$12&lt;'Your debts'!$F$9),AL51,0)+IF(AND('Your debts'!$F$13&lt;&gt;"",'Your debts'!$F$9&lt;&gt;"",'Your debts'!$F$13&lt;'Your debts'!$F$9),AQ51,0)+IF(AND('Your debts'!$F$14&lt;&gt;"",'Your debts'!$F$9&lt;&gt;"",'Your debts'!$F$14&lt;'Your debts'!$F$9),AV51,0)+IF(AND('Your debts'!$F$15&lt;&gt;"",'Your debts'!$F$9&lt;&gt;"",'Your debts'!$F$15&lt;'Your debts'!$F$9),BA51,0)))))</f>
        <v/>
      </c>
      <c r="Y51" s="33">
        <f>W51-X51</f>
        <v/>
      </c>
      <c r="Z51" s="33">
        <f>IF(AD50&lt;=0,0,ROUND(AD50*(1+'Your debts'!$D$10/1200),2))</f>
        <v/>
      </c>
      <c r="AA51" s="33">
        <f>IF(Z51&lt;=0,0,MIN('Your debts'!$E$10,Z51))</f>
        <v/>
      </c>
      <c r="AB51" s="33">
        <f>Z51-AA51</f>
        <v/>
      </c>
      <c r="AC51" s="33">
        <f>IF('Your debts'!$F$10="",0,MIN(AB51,MAX(0,MAX(0,'Your debts'!$C$19-(G51+L51+Q51+V51+AA51+AF51+AK51+AP51+AU51+AZ51))-(IF(AND('Your debts'!$F$6&lt;&gt;"",'Your debts'!$F$10&lt;&gt;"",'Your debts'!$F$6&lt;'Your debts'!$F$10),H51,0)+IF(AND('Your debts'!$F$7&lt;&gt;"",'Your debts'!$F$10&lt;&gt;"",'Your debts'!$F$7&lt;'Your debts'!$F$10),M51,0)+IF(AND('Your debts'!$F$8&lt;&gt;"",'Your debts'!$F$10&lt;&gt;"",'Your debts'!$F$8&lt;'Your debts'!$F$10),R51,0)+IF(AND('Your debts'!$F$9&lt;&gt;"",'Your debts'!$F$10&lt;&gt;"",'Your debts'!$F$9&lt;'Your debts'!$F$10),W51,0)+IF(AND('Your debts'!$F$11&lt;&gt;"",'Your debts'!$F$10&lt;&gt;"",'Your debts'!$F$11&lt;'Your debts'!$F$10),AG51,0)+IF(AND('Your debts'!$F$12&lt;&gt;"",'Your debts'!$F$10&lt;&gt;"",'Your debts'!$F$12&lt;'Your debts'!$F$10),AL51,0)+IF(AND('Your debts'!$F$13&lt;&gt;"",'Your debts'!$F$10&lt;&gt;"",'Your debts'!$F$13&lt;'Your debts'!$F$10),AQ51,0)+IF(AND('Your debts'!$F$14&lt;&gt;"",'Your debts'!$F$10&lt;&gt;"",'Your debts'!$F$14&lt;'Your debts'!$F$10),AV51,0)+IF(AND('Your debts'!$F$15&lt;&gt;"",'Your debts'!$F$10&lt;&gt;"",'Your debts'!$F$15&lt;'Your debts'!$F$10),BA51,0)))))</f>
        <v/>
      </c>
      <c r="AD51" s="33">
        <f>AB51-AC51</f>
        <v/>
      </c>
      <c r="AE51" s="33">
        <f>IF(AI50&lt;=0,0,ROUND(AI50*(1+'Your debts'!$D$11/1200),2))</f>
        <v/>
      </c>
      <c r="AF51" s="33">
        <f>IF(AE51&lt;=0,0,MIN('Your debts'!$E$11,AE51))</f>
        <v/>
      </c>
      <c r="AG51" s="33">
        <f>AE51-AF51</f>
        <v/>
      </c>
      <c r="AH51" s="33">
        <f>IF('Your debts'!$F$11="",0,MIN(AG51,MAX(0,MAX(0,'Your debts'!$C$19-(G51+L51+Q51+V51+AA51+AF51+AK51+AP51+AU51+AZ51))-(IF(AND('Your debts'!$F$6&lt;&gt;"",'Your debts'!$F$11&lt;&gt;"",'Your debts'!$F$6&lt;'Your debts'!$F$11),H51,0)+IF(AND('Your debts'!$F$7&lt;&gt;"",'Your debts'!$F$11&lt;&gt;"",'Your debts'!$F$7&lt;'Your debts'!$F$11),M51,0)+IF(AND('Your debts'!$F$8&lt;&gt;"",'Your debts'!$F$11&lt;&gt;"",'Your debts'!$F$8&lt;'Your debts'!$F$11),R51,0)+IF(AND('Your debts'!$F$9&lt;&gt;"",'Your debts'!$F$11&lt;&gt;"",'Your debts'!$F$9&lt;'Your debts'!$F$11),W51,0)+IF(AND('Your debts'!$F$10&lt;&gt;"",'Your debts'!$F$11&lt;&gt;"",'Your debts'!$F$10&lt;'Your debts'!$F$11),AB51,0)+IF(AND('Your debts'!$F$12&lt;&gt;"",'Your debts'!$F$11&lt;&gt;"",'Your debts'!$F$12&lt;'Your debts'!$F$11),AL51,0)+IF(AND('Your debts'!$F$13&lt;&gt;"",'Your debts'!$F$11&lt;&gt;"",'Your debts'!$F$13&lt;'Your debts'!$F$11),AQ51,0)+IF(AND('Your debts'!$F$14&lt;&gt;"",'Your debts'!$F$11&lt;&gt;"",'Your debts'!$F$14&lt;'Your debts'!$F$11),AV51,0)+IF(AND('Your debts'!$F$15&lt;&gt;"",'Your debts'!$F$11&lt;&gt;"",'Your debts'!$F$15&lt;'Your debts'!$F$11),BA51,0)))))</f>
        <v/>
      </c>
      <c r="AI51" s="33">
        <f>AG51-AH51</f>
        <v/>
      </c>
      <c r="AJ51" s="33">
        <f>IF(AN50&lt;=0,0,ROUND(AN50*(1+'Your debts'!$D$12/1200),2))</f>
        <v/>
      </c>
      <c r="AK51" s="33">
        <f>IF(AJ51&lt;=0,0,MIN('Your debts'!$E$12,AJ51))</f>
        <v/>
      </c>
      <c r="AL51" s="33">
        <f>AJ51-AK51</f>
        <v/>
      </c>
      <c r="AM51" s="33">
        <f>IF('Your debts'!$F$12="",0,MIN(AL51,MAX(0,MAX(0,'Your debts'!$C$19-(G51+L51+Q51+V51+AA51+AF51+AK51+AP51+AU51+AZ51))-(IF(AND('Your debts'!$F$6&lt;&gt;"",'Your debts'!$F$12&lt;&gt;"",'Your debts'!$F$6&lt;'Your debts'!$F$12),H51,0)+IF(AND('Your debts'!$F$7&lt;&gt;"",'Your debts'!$F$12&lt;&gt;"",'Your debts'!$F$7&lt;'Your debts'!$F$12),M51,0)+IF(AND('Your debts'!$F$8&lt;&gt;"",'Your debts'!$F$12&lt;&gt;"",'Your debts'!$F$8&lt;'Your debts'!$F$12),R51,0)+IF(AND('Your debts'!$F$9&lt;&gt;"",'Your debts'!$F$12&lt;&gt;"",'Your debts'!$F$9&lt;'Your debts'!$F$12),W51,0)+IF(AND('Your debts'!$F$10&lt;&gt;"",'Your debts'!$F$12&lt;&gt;"",'Your debts'!$F$10&lt;'Your debts'!$F$12),AB51,0)+IF(AND('Your debts'!$F$11&lt;&gt;"",'Your debts'!$F$12&lt;&gt;"",'Your debts'!$F$11&lt;'Your debts'!$F$12),AG51,0)+IF(AND('Your debts'!$F$13&lt;&gt;"",'Your debts'!$F$12&lt;&gt;"",'Your debts'!$F$13&lt;'Your debts'!$F$12),AQ51,0)+IF(AND('Your debts'!$F$14&lt;&gt;"",'Your debts'!$F$12&lt;&gt;"",'Your debts'!$F$14&lt;'Your debts'!$F$12),AV51,0)+IF(AND('Your debts'!$F$15&lt;&gt;"",'Your debts'!$F$12&lt;&gt;"",'Your debts'!$F$15&lt;'Your debts'!$F$12),BA51,0)))))</f>
        <v/>
      </c>
      <c r="AN51" s="33">
        <f>AL51-AM51</f>
        <v/>
      </c>
      <c r="AO51" s="33">
        <f>IF(AS50&lt;=0,0,ROUND(AS50*(1+'Your debts'!$D$13/1200),2))</f>
        <v/>
      </c>
      <c r="AP51" s="33">
        <f>IF(AO51&lt;=0,0,MIN('Your debts'!$E$13,AO51))</f>
        <v/>
      </c>
      <c r="AQ51" s="33">
        <f>AO51-AP51</f>
        <v/>
      </c>
      <c r="AR51" s="33">
        <f>IF('Your debts'!$F$13="",0,MIN(AQ51,MAX(0,MAX(0,'Your debts'!$C$19-(G51+L51+Q51+V51+AA51+AF51+AK51+AP51+AU51+AZ51))-(IF(AND('Your debts'!$F$6&lt;&gt;"",'Your debts'!$F$13&lt;&gt;"",'Your debts'!$F$6&lt;'Your debts'!$F$13),H51,0)+IF(AND('Your debts'!$F$7&lt;&gt;"",'Your debts'!$F$13&lt;&gt;"",'Your debts'!$F$7&lt;'Your debts'!$F$13),M51,0)+IF(AND('Your debts'!$F$8&lt;&gt;"",'Your debts'!$F$13&lt;&gt;"",'Your debts'!$F$8&lt;'Your debts'!$F$13),R51,0)+IF(AND('Your debts'!$F$9&lt;&gt;"",'Your debts'!$F$13&lt;&gt;"",'Your debts'!$F$9&lt;'Your debts'!$F$13),W51,0)+IF(AND('Your debts'!$F$10&lt;&gt;"",'Your debts'!$F$13&lt;&gt;"",'Your debts'!$F$10&lt;'Your debts'!$F$13),AB51,0)+IF(AND('Your debts'!$F$11&lt;&gt;"",'Your debts'!$F$13&lt;&gt;"",'Your debts'!$F$11&lt;'Your debts'!$F$13),AG51,0)+IF(AND('Your debts'!$F$12&lt;&gt;"",'Your debts'!$F$13&lt;&gt;"",'Your debts'!$F$12&lt;'Your debts'!$F$13),AL51,0)+IF(AND('Your debts'!$F$14&lt;&gt;"",'Your debts'!$F$13&lt;&gt;"",'Your debts'!$F$14&lt;'Your debts'!$F$13),AV51,0)+IF(AND('Your debts'!$F$15&lt;&gt;"",'Your debts'!$F$13&lt;&gt;"",'Your debts'!$F$15&lt;'Your debts'!$F$13),BA51,0)))))</f>
        <v/>
      </c>
      <c r="AS51" s="33">
        <f>AQ51-AR51</f>
        <v/>
      </c>
      <c r="AT51" s="33">
        <f>IF(AX50&lt;=0,0,ROUND(AX50*(1+'Your debts'!$D$14/1200),2))</f>
        <v/>
      </c>
      <c r="AU51" s="33">
        <f>IF(AT51&lt;=0,0,MIN('Your debts'!$E$14,AT51))</f>
        <v/>
      </c>
      <c r="AV51" s="33">
        <f>AT51-AU51</f>
        <v/>
      </c>
      <c r="AW51" s="33">
        <f>IF('Your debts'!$F$14="",0,MIN(AV51,MAX(0,MAX(0,'Your debts'!$C$19-(G51+L51+Q51+V51+AA51+AF51+AK51+AP51+AU51+AZ51))-(IF(AND('Your debts'!$F$6&lt;&gt;"",'Your debts'!$F$14&lt;&gt;"",'Your debts'!$F$6&lt;'Your debts'!$F$14),H51,0)+IF(AND('Your debts'!$F$7&lt;&gt;"",'Your debts'!$F$14&lt;&gt;"",'Your debts'!$F$7&lt;'Your debts'!$F$14),M51,0)+IF(AND('Your debts'!$F$8&lt;&gt;"",'Your debts'!$F$14&lt;&gt;"",'Your debts'!$F$8&lt;'Your debts'!$F$14),R51,0)+IF(AND('Your debts'!$F$9&lt;&gt;"",'Your debts'!$F$14&lt;&gt;"",'Your debts'!$F$9&lt;'Your debts'!$F$14),W51,0)+IF(AND('Your debts'!$F$10&lt;&gt;"",'Your debts'!$F$14&lt;&gt;"",'Your debts'!$F$10&lt;'Your debts'!$F$14),AB51,0)+IF(AND('Your debts'!$F$11&lt;&gt;"",'Your debts'!$F$14&lt;&gt;"",'Your debts'!$F$11&lt;'Your debts'!$F$14),AG51,0)+IF(AND('Your debts'!$F$12&lt;&gt;"",'Your debts'!$F$14&lt;&gt;"",'Your debts'!$F$12&lt;'Your debts'!$F$14),AL51,0)+IF(AND('Your debts'!$F$13&lt;&gt;"",'Your debts'!$F$14&lt;&gt;"",'Your debts'!$F$13&lt;'Your debts'!$F$14),AQ51,0)+IF(AND('Your debts'!$F$15&lt;&gt;"",'Your debts'!$F$14&lt;&gt;"",'Your debts'!$F$15&lt;'Your debts'!$F$14),BA51,0)))))</f>
        <v/>
      </c>
      <c r="AX51" s="33">
        <f>AV51-AW51</f>
        <v/>
      </c>
      <c r="AY51" s="33">
        <f>IF(BC50&lt;=0,0,ROUND(BC50*(1+'Your debts'!$D$15/1200),2))</f>
        <v/>
      </c>
      <c r="AZ51" s="33">
        <f>IF(AY51&lt;=0,0,MIN('Your debts'!$E$15,AY51))</f>
        <v/>
      </c>
      <c r="BA51" s="33">
        <f>AY51-AZ51</f>
        <v/>
      </c>
      <c r="BB51" s="33">
        <f>IF('Your debts'!$F$15="",0,MIN(BA51,MAX(0,MAX(0,'Your debts'!$C$19-(G51+L51+Q51+V51+AA51+AF51+AK51+AP51+AU51+AZ51))-(IF(AND('Your debts'!$F$6&lt;&gt;"",'Your debts'!$F$15&lt;&gt;"",'Your debts'!$F$6&lt;'Your debts'!$F$15),H51,0)+IF(AND('Your debts'!$F$7&lt;&gt;"",'Your debts'!$F$15&lt;&gt;"",'Your debts'!$F$7&lt;'Your debts'!$F$15),M51,0)+IF(AND('Your debts'!$F$8&lt;&gt;"",'Your debts'!$F$15&lt;&gt;"",'Your debts'!$F$8&lt;'Your debts'!$F$15),R51,0)+IF(AND('Your debts'!$F$9&lt;&gt;"",'Your debts'!$F$15&lt;&gt;"",'Your debts'!$F$9&lt;'Your debts'!$F$15),W51,0)+IF(AND('Your debts'!$F$10&lt;&gt;"",'Your debts'!$F$15&lt;&gt;"",'Your debts'!$F$10&lt;'Your debts'!$F$15),AB51,0)+IF(AND('Your debts'!$F$11&lt;&gt;"",'Your debts'!$F$15&lt;&gt;"",'Your debts'!$F$11&lt;'Your debts'!$F$15),AG51,0)+IF(AND('Your debts'!$F$12&lt;&gt;"",'Your debts'!$F$15&lt;&gt;"",'Your debts'!$F$12&lt;'Your debts'!$F$15),AL51,0)+IF(AND('Your debts'!$F$13&lt;&gt;"",'Your debts'!$F$15&lt;&gt;"",'Your debts'!$F$13&lt;'Your debts'!$F$15),AQ51,0)+IF(AND('Your debts'!$F$14&lt;&gt;"",'Your debts'!$F$15&lt;&gt;"",'Your debts'!$F$14&lt;'Your debts'!$F$15),AV51,0)))))</f>
        <v/>
      </c>
      <c r="BC51" s="33">
        <f>BA51-BB51</f>
        <v/>
      </c>
    </row>
    <row r="52">
      <c r="A52" s="30" t="n">
        <v>37</v>
      </c>
      <c r="B52" s="31">
        <f>EDATE($B$15,37)</f>
        <v/>
      </c>
      <c r="C52" s="32">
        <f>IF(J51&lt;=0,0,F52-J51)+IF(O51&lt;=0,0,K52-O51)+IF(T51&lt;=0,0,P52-T51)+IF(Y51&lt;=0,0,U52-Y51)+IF(AD51&lt;=0,0,Z52-AD51)+IF(AI51&lt;=0,0,AE52-AI51)+IF(AN51&lt;=0,0,AJ52-AN51)+IF(AS51&lt;=0,0,AO52-AS51)+IF(AX51&lt;=0,0,AT52-AX51)+IF(BC51&lt;=0,0,AY52-BC51)</f>
        <v/>
      </c>
      <c r="D52" s="32">
        <f>G52+I52+L52+N52+Q52+S52+V52+X52+AA52+AC52+AF52+AH52+AK52+AM52+AP52+AR52+AU52+AW52+AZ52+BB52</f>
        <v/>
      </c>
      <c r="E52" s="32">
        <f>J52+O52+T52+Y52+AD52+AI52+AN52+AS52+AX52+BC52</f>
        <v/>
      </c>
      <c r="F52" s="33">
        <f>IF(J51&lt;=0,0,ROUND(J51*(1+'Your debts'!$D$6/1200),2))</f>
        <v/>
      </c>
      <c r="G52" s="33">
        <f>IF(F52&lt;=0,0,MIN('Your debts'!$E$6,F52))</f>
        <v/>
      </c>
      <c r="H52" s="33">
        <f>F52-G52</f>
        <v/>
      </c>
      <c r="I52" s="33">
        <f>IF('Your debts'!$F$6="",0,MIN(H52,MAX(0,MAX(0,'Your debts'!$C$19-(G52+L52+Q52+V52+AA52+AF52+AK52+AP52+AU52+AZ52))-(IF(AND('Your debts'!$F$7&lt;&gt;"",'Your debts'!$F$6&lt;&gt;"",'Your debts'!$F$7&lt;'Your debts'!$F$6),M52,0)+IF(AND('Your debts'!$F$8&lt;&gt;"",'Your debts'!$F$6&lt;&gt;"",'Your debts'!$F$8&lt;'Your debts'!$F$6),R52,0)+IF(AND('Your debts'!$F$9&lt;&gt;"",'Your debts'!$F$6&lt;&gt;"",'Your debts'!$F$9&lt;'Your debts'!$F$6),W52,0)+IF(AND('Your debts'!$F$10&lt;&gt;"",'Your debts'!$F$6&lt;&gt;"",'Your debts'!$F$10&lt;'Your debts'!$F$6),AB52,0)+IF(AND('Your debts'!$F$11&lt;&gt;"",'Your debts'!$F$6&lt;&gt;"",'Your debts'!$F$11&lt;'Your debts'!$F$6),AG52,0)+IF(AND('Your debts'!$F$12&lt;&gt;"",'Your debts'!$F$6&lt;&gt;"",'Your debts'!$F$12&lt;'Your debts'!$F$6),AL52,0)+IF(AND('Your debts'!$F$13&lt;&gt;"",'Your debts'!$F$6&lt;&gt;"",'Your debts'!$F$13&lt;'Your debts'!$F$6),AQ52,0)+IF(AND('Your debts'!$F$14&lt;&gt;"",'Your debts'!$F$6&lt;&gt;"",'Your debts'!$F$14&lt;'Your debts'!$F$6),AV52,0)+IF(AND('Your debts'!$F$15&lt;&gt;"",'Your debts'!$F$6&lt;&gt;"",'Your debts'!$F$15&lt;'Your debts'!$F$6),BA52,0)))))</f>
        <v/>
      </c>
      <c r="J52" s="33">
        <f>H52-I52</f>
        <v/>
      </c>
      <c r="K52" s="33">
        <f>IF(O51&lt;=0,0,ROUND(O51*(1+'Your debts'!$D$7/1200),2))</f>
        <v/>
      </c>
      <c r="L52" s="33">
        <f>IF(K52&lt;=0,0,MIN('Your debts'!$E$7,K52))</f>
        <v/>
      </c>
      <c r="M52" s="33">
        <f>K52-L52</f>
        <v/>
      </c>
      <c r="N52" s="33">
        <f>IF('Your debts'!$F$7="",0,MIN(M52,MAX(0,MAX(0,'Your debts'!$C$19-(G52+L52+Q52+V52+AA52+AF52+AK52+AP52+AU52+AZ52))-(IF(AND('Your debts'!$F$6&lt;&gt;"",'Your debts'!$F$7&lt;&gt;"",'Your debts'!$F$6&lt;'Your debts'!$F$7),H52,0)+IF(AND('Your debts'!$F$8&lt;&gt;"",'Your debts'!$F$7&lt;&gt;"",'Your debts'!$F$8&lt;'Your debts'!$F$7),R52,0)+IF(AND('Your debts'!$F$9&lt;&gt;"",'Your debts'!$F$7&lt;&gt;"",'Your debts'!$F$9&lt;'Your debts'!$F$7),W52,0)+IF(AND('Your debts'!$F$10&lt;&gt;"",'Your debts'!$F$7&lt;&gt;"",'Your debts'!$F$10&lt;'Your debts'!$F$7),AB52,0)+IF(AND('Your debts'!$F$11&lt;&gt;"",'Your debts'!$F$7&lt;&gt;"",'Your debts'!$F$11&lt;'Your debts'!$F$7),AG52,0)+IF(AND('Your debts'!$F$12&lt;&gt;"",'Your debts'!$F$7&lt;&gt;"",'Your debts'!$F$12&lt;'Your debts'!$F$7),AL52,0)+IF(AND('Your debts'!$F$13&lt;&gt;"",'Your debts'!$F$7&lt;&gt;"",'Your debts'!$F$13&lt;'Your debts'!$F$7),AQ52,0)+IF(AND('Your debts'!$F$14&lt;&gt;"",'Your debts'!$F$7&lt;&gt;"",'Your debts'!$F$14&lt;'Your debts'!$F$7),AV52,0)+IF(AND('Your debts'!$F$15&lt;&gt;"",'Your debts'!$F$7&lt;&gt;"",'Your debts'!$F$15&lt;'Your debts'!$F$7),BA52,0)))))</f>
        <v/>
      </c>
      <c r="O52" s="33">
        <f>M52-N52</f>
        <v/>
      </c>
      <c r="P52" s="33">
        <f>IF(T51&lt;=0,0,ROUND(T51*(1+'Your debts'!$D$8/1200),2))</f>
        <v/>
      </c>
      <c r="Q52" s="33">
        <f>IF(P52&lt;=0,0,MIN('Your debts'!$E$8,P52))</f>
        <v/>
      </c>
      <c r="R52" s="33">
        <f>P52-Q52</f>
        <v/>
      </c>
      <c r="S52" s="33">
        <f>IF('Your debts'!$F$8="",0,MIN(R52,MAX(0,MAX(0,'Your debts'!$C$19-(G52+L52+Q52+V52+AA52+AF52+AK52+AP52+AU52+AZ52))-(IF(AND('Your debts'!$F$6&lt;&gt;"",'Your debts'!$F$8&lt;&gt;"",'Your debts'!$F$6&lt;'Your debts'!$F$8),H52,0)+IF(AND('Your debts'!$F$7&lt;&gt;"",'Your debts'!$F$8&lt;&gt;"",'Your debts'!$F$7&lt;'Your debts'!$F$8),M52,0)+IF(AND('Your debts'!$F$9&lt;&gt;"",'Your debts'!$F$8&lt;&gt;"",'Your debts'!$F$9&lt;'Your debts'!$F$8),W52,0)+IF(AND('Your debts'!$F$10&lt;&gt;"",'Your debts'!$F$8&lt;&gt;"",'Your debts'!$F$10&lt;'Your debts'!$F$8),AB52,0)+IF(AND('Your debts'!$F$11&lt;&gt;"",'Your debts'!$F$8&lt;&gt;"",'Your debts'!$F$11&lt;'Your debts'!$F$8),AG52,0)+IF(AND('Your debts'!$F$12&lt;&gt;"",'Your debts'!$F$8&lt;&gt;"",'Your debts'!$F$12&lt;'Your debts'!$F$8),AL52,0)+IF(AND('Your debts'!$F$13&lt;&gt;"",'Your debts'!$F$8&lt;&gt;"",'Your debts'!$F$13&lt;'Your debts'!$F$8),AQ52,0)+IF(AND('Your debts'!$F$14&lt;&gt;"",'Your debts'!$F$8&lt;&gt;"",'Your debts'!$F$14&lt;'Your debts'!$F$8),AV52,0)+IF(AND('Your debts'!$F$15&lt;&gt;"",'Your debts'!$F$8&lt;&gt;"",'Your debts'!$F$15&lt;'Your debts'!$F$8),BA52,0)))))</f>
        <v/>
      </c>
      <c r="T52" s="33">
        <f>R52-S52</f>
        <v/>
      </c>
      <c r="U52" s="33">
        <f>IF(Y51&lt;=0,0,ROUND(Y51*(1+'Your debts'!$D$9/1200),2))</f>
        <v/>
      </c>
      <c r="V52" s="33">
        <f>IF(U52&lt;=0,0,MIN('Your debts'!$E$9,U52))</f>
        <v/>
      </c>
      <c r="W52" s="33">
        <f>U52-V52</f>
        <v/>
      </c>
      <c r="X52" s="33">
        <f>IF('Your debts'!$F$9="",0,MIN(W52,MAX(0,MAX(0,'Your debts'!$C$19-(G52+L52+Q52+V52+AA52+AF52+AK52+AP52+AU52+AZ52))-(IF(AND('Your debts'!$F$6&lt;&gt;"",'Your debts'!$F$9&lt;&gt;"",'Your debts'!$F$6&lt;'Your debts'!$F$9),H52,0)+IF(AND('Your debts'!$F$7&lt;&gt;"",'Your debts'!$F$9&lt;&gt;"",'Your debts'!$F$7&lt;'Your debts'!$F$9),M52,0)+IF(AND('Your debts'!$F$8&lt;&gt;"",'Your debts'!$F$9&lt;&gt;"",'Your debts'!$F$8&lt;'Your debts'!$F$9),R52,0)+IF(AND('Your debts'!$F$10&lt;&gt;"",'Your debts'!$F$9&lt;&gt;"",'Your debts'!$F$10&lt;'Your debts'!$F$9),AB52,0)+IF(AND('Your debts'!$F$11&lt;&gt;"",'Your debts'!$F$9&lt;&gt;"",'Your debts'!$F$11&lt;'Your debts'!$F$9),AG52,0)+IF(AND('Your debts'!$F$12&lt;&gt;"",'Your debts'!$F$9&lt;&gt;"",'Your debts'!$F$12&lt;'Your debts'!$F$9),AL52,0)+IF(AND('Your debts'!$F$13&lt;&gt;"",'Your debts'!$F$9&lt;&gt;"",'Your debts'!$F$13&lt;'Your debts'!$F$9),AQ52,0)+IF(AND('Your debts'!$F$14&lt;&gt;"",'Your debts'!$F$9&lt;&gt;"",'Your debts'!$F$14&lt;'Your debts'!$F$9),AV52,0)+IF(AND('Your debts'!$F$15&lt;&gt;"",'Your debts'!$F$9&lt;&gt;"",'Your debts'!$F$15&lt;'Your debts'!$F$9),BA52,0)))))</f>
        <v/>
      </c>
      <c r="Y52" s="33">
        <f>W52-X52</f>
        <v/>
      </c>
      <c r="Z52" s="33">
        <f>IF(AD51&lt;=0,0,ROUND(AD51*(1+'Your debts'!$D$10/1200),2))</f>
        <v/>
      </c>
      <c r="AA52" s="33">
        <f>IF(Z52&lt;=0,0,MIN('Your debts'!$E$10,Z52))</f>
        <v/>
      </c>
      <c r="AB52" s="33">
        <f>Z52-AA52</f>
        <v/>
      </c>
      <c r="AC52" s="33">
        <f>IF('Your debts'!$F$10="",0,MIN(AB52,MAX(0,MAX(0,'Your debts'!$C$19-(G52+L52+Q52+V52+AA52+AF52+AK52+AP52+AU52+AZ52))-(IF(AND('Your debts'!$F$6&lt;&gt;"",'Your debts'!$F$10&lt;&gt;"",'Your debts'!$F$6&lt;'Your debts'!$F$10),H52,0)+IF(AND('Your debts'!$F$7&lt;&gt;"",'Your debts'!$F$10&lt;&gt;"",'Your debts'!$F$7&lt;'Your debts'!$F$10),M52,0)+IF(AND('Your debts'!$F$8&lt;&gt;"",'Your debts'!$F$10&lt;&gt;"",'Your debts'!$F$8&lt;'Your debts'!$F$10),R52,0)+IF(AND('Your debts'!$F$9&lt;&gt;"",'Your debts'!$F$10&lt;&gt;"",'Your debts'!$F$9&lt;'Your debts'!$F$10),W52,0)+IF(AND('Your debts'!$F$11&lt;&gt;"",'Your debts'!$F$10&lt;&gt;"",'Your debts'!$F$11&lt;'Your debts'!$F$10),AG52,0)+IF(AND('Your debts'!$F$12&lt;&gt;"",'Your debts'!$F$10&lt;&gt;"",'Your debts'!$F$12&lt;'Your debts'!$F$10),AL52,0)+IF(AND('Your debts'!$F$13&lt;&gt;"",'Your debts'!$F$10&lt;&gt;"",'Your debts'!$F$13&lt;'Your debts'!$F$10),AQ52,0)+IF(AND('Your debts'!$F$14&lt;&gt;"",'Your debts'!$F$10&lt;&gt;"",'Your debts'!$F$14&lt;'Your debts'!$F$10),AV52,0)+IF(AND('Your debts'!$F$15&lt;&gt;"",'Your debts'!$F$10&lt;&gt;"",'Your debts'!$F$15&lt;'Your debts'!$F$10),BA52,0)))))</f>
        <v/>
      </c>
      <c r="AD52" s="33">
        <f>AB52-AC52</f>
        <v/>
      </c>
      <c r="AE52" s="33">
        <f>IF(AI51&lt;=0,0,ROUND(AI51*(1+'Your debts'!$D$11/1200),2))</f>
        <v/>
      </c>
      <c r="AF52" s="33">
        <f>IF(AE52&lt;=0,0,MIN('Your debts'!$E$11,AE52))</f>
        <v/>
      </c>
      <c r="AG52" s="33">
        <f>AE52-AF52</f>
        <v/>
      </c>
      <c r="AH52" s="33">
        <f>IF('Your debts'!$F$11="",0,MIN(AG52,MAX(0,MAX(0,'Your debts'!$C$19-(G52+L52+Q52+V52+AA52+AF52+AK52+AP52+AU52+AZ52))-(IF(AND('Your debts'!$F$6&lt;&gt;"",'Your debts'!$F$11&lt;&gt;"",'Your debts'!$F$6&lt;'Your debts'!$F$11),H52,0)+IF(AND('Your debts'!$F$7&lt;&gt;"",'Your debts'!$F$11&lt;&gt;"",'Your debts'!$F$7&lt;'Your debts'!$F$11),M52,0)+IF(AND('Your debts'!$F$8&lt;&gt;"",'Your debts'!$F$11&lt;&gt;"",'Your debts'!$F$8&lt;'Your debts'!$F$11),R52,0)+IF(AND('Your debts'!$F$9&lt;&gt;"",'Your debts'!$F$11&lt;&gt;"",'Your debts'!$F$9&lt;'Your debts'!$F$11),W52,0)+IF(AND('Your debts'!$F$10&lt;&gt;"",'Your debts'!$F$11&lt;&gt;"",'Your debts'!$F$10&lt;'Your debts'!$F$11),AB52,0)+IF(AND('Your debts'!$F$12&lt;&gt;"",'Your debts'!$F$11&lt;&gt;"",'Your debts'!$F$12&lt;'Your debts'!$F$11),AL52,0)+IF(AND('Your debts'!$F$13&lt;&gt;"",'Your debts'!$F$11&lt;&gt;"",'Your debts'!$F$13&lt;'Your debts'!$F$11),AQ52,0)+IF(AND('Your debts'!$F$14&lt;&gt;"",'Your debts'!$F$11&lt;&gt;"",'Your debts'!$F$14&lt;'Your debts'!$F$11),AV52,0)+IF(AND('Your debts'!$F$15&lt;&gt;"",'Your debts'!$F$11&lt;&gt;"",'Your debts'!$F$15&lt;'Your debts'!$F$11),BA52,0)))))</f>
        <v/>
      </c>
      <c r="AI52" s="33">
        <f>AG52-AH52</f>
        <v/>
      </c>
      <c r="AJ52" s="33">
        <f>IF(AN51&lt;=0,0,ROUND(AN51*(1+'Your debts'!$D$12/1200),2))</f>
        <v/>
      </c>
      <c r="AK52" s="33">
        <f>IF(AJ52&lt;=0,0,MIN('Your debts'!$E$12,AJ52))</f>
        <v/>
      </c>
      <c r="AL52" s="33">
        <f>AJ52-AK52</f>
        <v/>
      </c>
      <c r="AM52" s="33">
        <f>IF('Your debts'!$F$12="",0,MIN(AL52,MAX(0,MAX(0,'Your debts'!$C$19-(G52+L52+Q52+V52+AA52+AF52+AK52+AP52+AU52+AZ52))-(IF(AND('Your debts'!$F$6&lt;&gt;"",'Your debts'!$F$12&lt;&gt;"",'Your debts'!$F$6&lt;'Your debts'!$F$12),H52,0)+IF(AND('Your debts'!$F$7&lt;&gt;"",'Your debts'!$F$12&lt;&gt;"",'Your debts'!$F$7&lt;'Your debts'!$F$12),M52,0)+IF(AND('Your debts'!$F$8&lt;&gt;"",'Your debts'!$F$12&lt;&gt;"",'Your debts'!$F$8&lt;'Your debts'!$F$12),R52,0)+IF(AND('Your debts'!$F$9&lt;&gt;"",'Your debts'!$F$12&lt;&gt;"",'Your debts'!$F$9&lt;'Your debts'!$F$12),W52,0)+IF(AND('Your debts'!$F$10&lt;&gt;"",'Your debts'!$F$12&lt;&gt;"",'Your debts'!$F$10&lt;'Your debts'!$F$12),AB52,0)+IF(AND('Your debts'!$F$11&lt;&gt;"",'Your debts'!$F$12&lt;&gt;"",'Your debts'!$F$11&lt;'Your debts'!$F$12),AG52,0)+IF(AND('Your debts'!$F$13&lt;&gt;"",'Your debts'!$F$12&lt;&gt;"",'Your debts'!$F$13&lt;'Your debts'!$F$12),AQ52,0)+IF(AND('Your debts'!$F$14&lt;&gt;"",'Your debts'!$F$12&lt;&gt;"",'Your debts'!$F$14&lt;'Your debts'!$F$12),AV52,0)+IF(AND('Your debts'!$F$15&lt;&gt;"",'Your debts'!$F$12&lt;&gt;"",'Your debts'!$F$15&lt;'Your debts'!$F$12),BA52,0)))))</f>
        <v/>
      </c>
      <c r="AN52" s="33">
        <f>AL52-AM52</f>
        <v/>
      </c>
      <c r="AO52" s="33">
        <f>IF(AS51&lt;=0,0,ROUND(AS51*(1+'Your debts'!$D$13/1200),2))</f>
        <v/>
      </c>
      <c r="AP52" s="33">
        <f>IF(AO52&lt;=0,0,MIN('Your debts'!$E$13,AO52))</f>
        <v/>
      </c>
      <c r="AQ52" s="33">
        <f>AO52-AP52</f>
        <v/>
      </c>
      <c r="AR52" s="33">
        <f>IF('Your debts'!$F$13="",0,MIN(AQ52,MAX(0,MAX(0,'Your debts'!$C$19-(G52+L52+Q52+V52+AA52+AF52+AK52+AP52+AU52+AZ52))-(IF(AND('Your debts'!$F$6&lt;&gt;"",'Your debts'!$F$13&lt;&gt;"",'Your debts'!$F$6&lt;'Your debts'!$F$13),H52,0)+IF(AND('Your debts'!$F$7&lt;&gt;"",'Your debts'!$F$13&lt;&gt;"",'Your debts'!$F$7&lt;'Your debts'!$F$13),M52,0)+IF(AND('Your debts'!$F$8&lt;&gt;"",'Your debts'!$F$13&lt;&gt;"",'Your debts'!$F$8&lt;'Your debts'!$F$13),R52,0)+IF(AND('Your debts'!$F$9&lt;&gt;"",'Your debts'!$F$13&lt;&gt;"",'Your debts'!$F$9&lt;'Your debts'!$F$13),W52,0)+IF(AND('Your debts'!$F$10&lt;&gt;"",'Your debts'!$F$13&lt;&gt;"",'Your debts'!$F$10&lt;'Your debts'!$F$13),AB52,0)+IF(AND('Your debts'!$F$11&lt;&gt;"",'Your debts'!$F$13&lt;&gt;"",'Your debts'!$F$11&lt;'Your debts'!$F$13),AG52,0)+IF(AND('Your debts'!$F$12&lt;&gt;"",'Your debts'!$F$13&lt;&gt;"",'Your debts'!$F$12&lt;'Your debts'!$F$13),AL52,0)+IF(AND('Your debts'!$F$14&lt;&gt;"",'Your debts'!$F$13&lt;&gt;"",'Your debts'!$F$14&lt;'Your debts'!$F$13),AV52,0)+IF(AND('Your debts'!$F$15&lt;&gt;"",'Your debts'!$F$13&lt;&gt;"",'Your debts'!$F$15&lt;'Your debts'!$F$13),BA52,0)))))</f>
        <v/>
      </c>
      <c r="AS52" s="33">
        <f>AQ52-AR52</f>
        <v/>
      </c>
      <c r="AT52" s="33">
        <f>IF(AX51&lt;=0,0,ROUND(AX51*(1+'Your debts'!$D$14/1200),2))</f>
        <v/>
      </c>
      <c r="AU52" s="33">
        <f>IF(AT52&lt;=0,0,MIN('Your debts'!$E$14,AT52))</f>
        <v/>
      </c>
      <c r="AV52" s="33">
        <f>AT52-AU52</f>
        <v/>
      </c>
      <c r="AW52" s="33">
        <f>IF('Your debts'!$F$14="",0,MIN(AV52,MAX(0,MAX(0,'Your debts'!$C$19-(G52+L52+Q52+V52+AA52+AF52+AK52+AP52+AU52+AZ52))-(IF(AND('Your debts'!$F$6&lt;&gt;"",'Your debts'!$F$14&lt;&gt;"",'Your debts'!$F$6&lt;'Your debts'!$F$14),H52,0)+IF(AND('Your debts'!$F$7&lt;&gt;"",'Your debts'!$F$14&lt;&gt;"",'Your debts'!$F$7&lt;'Your debts'!$F$14),M52,0)+IF(AND('Your debts'!$F$8&lt;&gt;"",'Your debts'!$F$14&lt;&gt;"",'Your debts'!$F$8&lt;'Your debts'!$F$14),R52,0)+IF(AND('Your debts'!$F$9&lt;&gt;"",'Your debts'!$F$14&lt;&gt;"",'Your debts'!$F$9&lt;'Your debts'!$F$14),W52,0)+IF(AND('Your debts'!$F$10&lt;&gt;"",'Your debts'!$F$14&lt;&gt;"",'Your debts'!$F$10&lt;'Your debts'!$F$14),AB52,0)+IF(AND('Your debts'!$F$11&lt;&gt;"",'Your debts'!$F$14&lt;&gt;"",'Your debts'!$F$11&lt;'Your debts'!$F$14),AG52,0)+IF(AND('Your debts'!$F$12&lt;&gt;"",'Your debts'!$F$14&lt;&gt;"",'Your debts'!$F$12&lt;'Your debts'!$F$14),AL52,0)+IF(AND('Your debts'!$F$13&lt;&gt;"",'Your debts'!$F$14&lt;&gt;"",'Your debts'!$F$13&lt;'Your debts'!$F$14),AQ52,0)+IF(AND('Your debts'!$F$15&lt;&gt;"",'Your debts'!$F$14&lt;&gt;"",'Your debts'!$F$15&lt;'Your debts'!$F$14),BA52,0)))))</f>
        <v/>
      </c>
      <c r="AX52" s="33">
        <f>AV52-AW52</f>
        <v/>
      </c>
      <c r="AY52" s="33">
        <f>IF(BC51&lt;=0,0,ROUND(BC51*(1+'Your debts'!$D$15/1200),2))</f>
        <v/>
      </c>
      <c r="AZ52" s="33">
        <f>IF(AY52&lt;=0,0,MIN('Your debts'!$E$15,AY52))</f>
        <v/>
      </c>
      <c r="BA52" s="33">
        <f>AY52-AZ52</f>
        <v/>
      </c>
      <c r="BB52" s="33">
        <f>IF('Your debts'!$F$15="",0,MIN(BA52,MAX(0,MAX(0,'Your debts'!$C$19-(G52+L52+Q52+V52+AA52+AF52+AK52+AP52+AU52+AZ52))-(IF(AND('Your debts'!$F$6&lt;&gt;"",'Your debts'!$F$15&lt;&gt;"",'Your debts'!$F$6&lt;'Your debts'!$F$15),H52,0)+IF(AND('Your debts'!$F$7&lt;&gt;"",'Your debts'!$F$15&lt;&gt;"",'Your debts'!$F$7&lt;'Your debts'!$F$15),M52,0)+IF(AND('Your debts'!$F$8&lt;&gt;"",'Your debts'!$F$15&lt;&gt;"",'Your debts'!$F$8&lt;'Your debts'!$F$15),R52,0)+IF(AND('Your debts'!$F$9&lt;&gt;"",'Your debts'!$F$15&lt;&gt;"",'Your debts'!$F$9&lt;'Your debts'!$F$15),W52,0)+IF(AND('Your debts'!$F$10&lt;&gt;"",'Your debts'!$F$15&lt;&gt;"",'Your debts'!$F$10&lt;'Your debts'!$F$15),AB52,0)+IF(AND('Your debts'!$F$11&lt;&gt;"",'Your debts'!$F$15&lt;&gt;"",'Your debts'!$F$11&lt;'Your debts'!$F$15),AG52,0)+IF(AND('Your debts'!$F$12&lt;&gt;"",'Your debts'!$F$15&lt;&gt;"",'Your debts'!$F$12&lt;'Your debts'!$F$15),AL52,0)+IF(AND('Your debts'!$F$13&lt;&gt;"",'Your debts'!$F$15&lt;&gt;"",'Your debts'!$F$13&lt;'Your debts'!$F$15),AQ52,0)+IF(AND('Your debts'!$F$14&lt;&gt;"",'Your debts'!$F$15&lt;&gt;"",'Your debts'!$F$14&lt;'Your debts'!$F$15),AV52,0)))))</f>
        <v/>
      </c>
      <c r="BC52" s="33">
        <f>BA52-BB52</f>
        <v/>
      </c>
    </row>
    <row r="53">
      <c r="A53" s="30" t="n">
        <v>38</v>
      </c>
      <c r="B53" s="31">
        <f>EDATE($B$15,38)</f>
        <v/>
      </c>
      <c r="C53" s="32">
        <f>IF(J52&lt;=0,0,F53-J52)+IF(O52&lt;=0,0,K53-O52)+IF(T52&lt;=0,0,P53-T52)+IF(Y52&lt;=0,0,U53-Y52)+IF(AD52&lt;=0,0,Z53-AD52)+IF(AI52&lt;=0,0,AE53-AI52)+IF(AN52&lt;=0,0,AJ53-AN52)+IF(AS52&lt;=0,0,AO53-AS52)+IF(AX52&lt;=0,0,AT53-AX52)+IF(BC52&lt;=0,0,AY53-BC52)</f>
        <v/>
      </c>
      <c r="D53" s="32">
        <f>G53+I53+L53+N53+Q53+S53+V53+X53+AA53+AC53+AF53+AH53+AK53+AM53+AP53+AR53+AU53+AW53+AZ53+BB53</f>
        <v/>
      </c>
      <c r="E53" s="32">
        <f>J53+O53+T53+Y53+AD53+AI53+AN53+AS53+AX53+BC53</f>
        <v/>
      </c>
      <c r="F53" s="33">
        <f>IF(J52&lt;=0,0,ROUND(J52*(1+'Your debts'!$D$6/1200),2))</f>
        <v/>
      </c>
      <c r="G53" s="33">
        <f>IF(F53&lt;=0,0,MIN('Your debts'!$E$6,F53))</f>
        <v/>
      </c>
      <c r="H53" s="33">
        <f>F53-G53</f>
        <v/>
      </c>
      <c r="I53" s="33">
        <f>IF('Your debts'!$F$6="",0,MIN(H53,MAX(0,MAX(0,'Your debts'!$C$19-(G53+L53+Q53+V53+AA53+AF53+AK53+AP53+AU53+AZ53))-(IF(AND('Your debts'!$F$7&lt;&gt;"",'Your debts'!$F$6&lt;&gt;"",'Your debts'!$F$7&lt;'Your debts'!$F$6),M53,0)+IF(AND('Your debts'!$F$8&lt;&gt;"",'Your debts'!$F$6&lt;&gt;"",'Your debts'!$F$8&lt;'Your debts'!$F$6),R53,0)+IF(AND('Your debts'!$F$9&lt;&gt;"",'Your debts'!$F$6&lt;&gt;"",'Your debts'!$F$9&lt;'Your debts'!$F$6),W53,0)+IF(AND('Your debts'!$F$10&lt;&gt;"",'Your debts'!$F$6&lt;&gt;"",'Your debts'!$F$10&lt;'Your debts'!$F$6),AB53,0)+IF(AND('Your debts'!$F$11&lt;&gt;"",'Your debts'!$F$6&lt;&gt;"",'Your debts'!$F$11&lt;'Your debts'!$F$6),AG53,0)+IF(AND('Your debts'!$F$12&lt;&gt;"",'Your debts'!$F$6&lt;&gt;"",'Your debts'!$F$12&lt;'Your debts'!$F$6),AL53,0)+IF(AND('Your debts'!$F$13&lt;&gt;"",'Your debts'!$F$6&lt;&gt;"",'Your debts'!$F$13&lt;'Your debts'!$F$6),AQ53,0)+IF(AND('Your debts'!$F$14&lt;&gt;"",'Your debts'!$F$6&lt;&gt;"",'Your debts'!$F$14&lt;'Your debts'!$F$6),AV53,0)+IF(AND('Your debts'!$F$15&lt;&gt;"",'Your debts'!$F$6&lt;&gt;"",'Your debts'!$F$15&lt;'Your debts'!$F$6),BA53,0)))))</f>
        <v/>
      </c>
      <c r="J53" s="33">
        <f>H53-I53</f>
        <v/>
      </c>
      <c r="K53" s="33">
        <f>IF(O52&lt;=0,0,ROUND(O52*(1+'Your debts'!$D$7/1200),2))</f>
        <v/>
      </c>
      <c r="L53" s="33">
        <f>IF(K53&lt;=0,0,MIN('Your debts'!$E$7,K53))</f>
        <v/>
      </c>
      <c r="M53" s="33">
        <f>K53-L53</f>
        <v/>
      </c>
      <c r="N53" s="33">
        <f>IF('Your debts'!$F$7="",0,MIN(M53,MAX(0,MAX(0,'Your debts'!$C$19-(G53+L53+Q53+V53+AA53+AF53+AK53+AP53+AU53+AZ53))-(IF(AND('Your debts'!$F$6&lt;&gt;"",'Your debts'!$F$7&lt;&gt;"",'Your debts'!$F$6&lt;'Your debts'!$F$7),H53,0)+IF(AND('Your debts'!$F$8&lt;&gt;"",'Your debts'!$F$7&lt;&gt;"",'Your debts'!$F$8&lt;'Your debts'!$F$7),R53,0)+IF(AND('Your debts'!$F$9&lt;&gt;"",'Your debts'!$F$7&lt;&gt;"",'Your debts'!$F$9&lt;'Your debts'!$F$7),W53,0)+IF(AND('Your debts'!$F$10&lt;&gt;"",'Your debts'!$F$7&lt;&gt;"",'Your debts'!$F$10&lt;'Your debts'!$F$7),AB53,0)+IF(AND('Your debts'!$F$11&lt;&gt;"",'Your debts'!$F$7&lt;&gt;"",'Your debts'!$F$11&lt;'Your debts'!$F$7),AG53,0)+IF(AND('Your debts'!$F$12&lt;&gt;"",'Your debts'!$F$7&lt;&gt;"",'Your debts'!$F$12&lt;'Your debts'!$F$7),AL53,0)+IF(AND('Your debts'!$F$13&lt;&gt;"",'Your debts'!$F$7&lt;&gt;"",'Your debts'!$F$13&lt;'Your debts'!$F$7),AQ53,0)+IF(AND('Your debts'!$F$14&lt;&gt;"",'Your debts'!$F$7&lt;&gt;"",'Your debts'!$F$14&lt;'Your debts'!$F$7),AV53,0)+IF(AND('Your debts'!$F$15&lt;&gt;"",'Your debts'!$F$7&lt;&gt;"",'Your debts'!$F$15&lt;'Your debts'!$F$7),BA53,0)))))</f>
        <v/>
      </c>
      <c r="O53" s="33">
        <f>M53-N53</f>
        <v/>
      </c>
      <c r="P53" s="33">
        <f>IF(T52&lt;=0,0,ROUND(T52*(1+'Your debts'!$D$8/1200),2))</f>
        <v/>
      </c>
      <c r="Q53" s="33">
        <f>IF(P53&lt;=0,0,MIN('Your debts'!$E$8,P53))</f>
        <v/>
      </c>
      <c r="R53" s="33">
        <f>P53-Q53</f>
        <v/>
      </c>
      <c r="S53" s="33">
        <f>IF('Your debts'!$F$8="",0,MIN(R53,MAX(0,MAX(0,'Your debts'!$C$19-(G53+L53+Q53+V53+AA53+AF53+AK53+AP53+AU53+AZ53))-(IF(AND('Your debts'!$F$6&lt;&gt;"",'Your debts'!$F$8&lt;&gt;"",'Your debts'!$F$6&lt;'Your debts'!$F$8),H53,0)+IF(AND('Your debts'!$F$7&lt;&gt;"",'Your debts'!$F$8&lt;&gt;"",'Your debts'!$F$7&lt;'Your debts'!$F$8),M53,0)+IF(AND('Your debts'!$F$9&lt;&gt;"",'Your debts'!$F$8&lt;&gt;"",'Your debts'!$F$9&lt;'Your debts'!$F$8),W53,0)+IF(AND('Your debts'!$F$10&lt;&gt;"",'Your debts'!$F$8&lt;&gt;"",'Your debts'!$F$10&lt;'Your debts'!$F$8),AB53,0)+IF(AND('Your debts'!$F$11&lt;&gt;"",'Your debts'!$F$8&lt;&gt;"",'Your debts'!$F$11&lt;'Your debts'!$F$8),AG53,0)+IF(AND('Your debts'!$F$12&lt;&gt;"",'Your debts'!$F$8&lt;&gt;"",'Your debts'!$F$12&lt;'Your debts'!$F$8),AL53,0)+IF(AND('Your debts'!$F$13&lt;&gt;"",'Your debts'!$F$8&lt;&gt;"",'Your debts'!$F$13&lt;'Your debts'!$F$8),AQ53,0)+IF(AND('Your debts'!$F$14&lt;&gt;"",'Your debts'!$F$8&lt;&gt;"",'Your debts'!$F$14&lt;'Your debts'!$F$8),AV53,0)+IF(AND('Your debts'!$F$15&lt;&gt;"",'Your debts'!$F$8&lt;&gt;"",'Your debts'!$F$15&lt;'Your debts'!$F$8),BA53,0)))))</f>
        <v/>
      </c>
      <c r="T53" s="33">
        <f>R53-S53</f>
        <v/>
      </c>
      <c r="U53" s="33">
        <f>IF(Y52&lt;=0,0,ROUND(Y52*(1+'Your debts'!$D$9/1200),2))</f>
        <v/>
      </c>
      <c r="V53" s="33">
        <f>IF(U53&lt;=0,0,MIN('Your debts'!$E$9,U53))</f>
        <v/>
      </c>
      <c r="W53" s="33">
        <f>U53-V53</f>
        <v/>
      </c>
      <c r="X53" s="33">
        <f>IF('Your debts'!$F$9="",0,MIN(W53,MAX(0,MAX(0,'Your debts'!$C$19-(G53+L53+Q53+V53+AA53+AF53+AK53+AP53+AU53+AZ53))-(IF(AND('Your debts'!$F$6&lt;&gt;"",'Your debts'!$F$9&lt;&gt;"",'Your debts'!$F$6&lt;'Your debts'!$F$9),H53,0)+IF(AND('Your debts'!$F$7&lt;&gt;"",'Your debts'!$F$9&lt;&gt;"",'Your debts'!$F$7&lt;'Your debts'!$F$9),M53,0)+IF(AND('Your debts'!$F$8&lt;&gt;"",'Your debts'!$F$9&lt;&gt;"",'Your debts'!$F$8&lt;'Your debts'!$F$9),R53,0)+IF(AND('Your debts'!$F$10&lt;&gt;"",'Your debts'!$F$9&lt;&gt;"",'Your debts'!$F$10&lt;'Your debts'!$F$9),AB53,0)+IF(AND('Your debts'!$F$11&lt;&gt;"",'Your debts'!$F$9&lt;&gt;"",'Your debts'!$F$11&lt;'Your debts'!$F$9),AG53,0)+IF(AND('Your debts'!$F$12&lt;&gt;"",'Your debts'!$F$9&lt;&gt;"",'Your debts'!$F$12&lt;'Your debts'!$F$9),AL53,0)+IF(AND('Your debts'!$F$13&lt;&gt;"",'Your debts'!$F$9&lt;&gt;"",'Your debts'!$F$13&lt;'Your debts'!$F$9),AQ53,0)+IF(AND('Your debts'!$F$14&lt;&gt;"",'Your debts'!$F$9&lt;&gt;"",'Your debts'!$F$14&lt;'Your debts'!$F$9),AV53,0)+IF(AND('Your debts'!$F$15&lt;&gt;"",'Your debts'!$F$9&lt;&gt;"",'Your debts'!$F$15&lt;'Your debts'!$F$9),BA53,0)))))</f>
        <v/>
      </c>
      <c r="Y53" s="33">
        <f>W53-X53</f>
        <v/>
      </c>
      <c r="Z53" s="33">
        <f>IF(AD52&lt;=0,0,ROUND(AD52*(1+'Your debts'!$D$10/1200),2))</f>
        <v/>
      </c>
      <c r="AA53" s="33">
        <f>IF(Z53&lt;=0,0,MIN('Your debts'!$E$10,Z53))</f>
        <v/>
      </c>
      <c r="AB53" s="33">
        <f>Z53-AA53</f>
        <v/>
      </c>
      <c r="AC53" s="33">
        <f>IF('Your debts'!$F$10="",0,MIN(AB53,MAX(0,MAX(0,'Your debts'!$C$19-(G53+L53+Q53+V53+AA53+AF53+AK53+AP53+AU53+AZ53))-(IF(AND('Your debts'!$F$6&lt;&gt;"",'Your debts'!$F$10&lt;&gt;"",'Your debts'!$F$6&lt;'Your debts'!$F$10),H53,0)+IF(AND('Your debts'!$F$7&lt;&gt;"",'Your debts'!$F$10&lt;&gt;"",'Your debts'!$F$7&lt;'Your debts'!$F$10),M53,0)+IF(AND('Your debts'!$F$8&lt;&gt;"",'Your debts'!$F$10&lt;&gt;"",'Your debts'!$F$8&lt;'Your debts'!$F$10),R53,0)+IF(AND('Your debts'!$F$9&lt;&gt;"",'Your debts'!$F$10&lt;&gt;"",'Your debts'!$F$9&lt;'Your debts'!$F$10),W53,0)+IF(AND('Your debts'!$F$11&lt;&gt;"",'Your debts'!$F$10&lt;&gt;"",'Your debts'!$F$11&lt;'Your debts'!$F$10),AG53,0)+IF(AND('Your debts'!$F$12&lt;&gt;"",'Your debts'!$F$10&lt;&gt;"",'Your debts'!$F$12&lt;'Your debts'!$F$10),AL53,0)+IF(AND('Your debts'!$F$13&lt;&gt;"",'Your debts'!$F$10&lt;&gt;"",'Your debts'!$F$13&lt;'Your debts'!$F$10),AQ53,0)+IF(AND('Your debts'!$F$14&lt;&gt;"",'Your debts'!$F$10&lt;&gt;"",'Your debts'!$F$14&lt;'Your debts'!$F$10),AV53,0)+IF(AND('Your debts'!$F$15&lt;&gt;"",'Your debts'!$F$10&lt;&gt;"",'Your debts'!$F$15&lt;'Your debts'!$F$10),BA53,0)))))</f>
        <v/>
      </c>
      <c r="AD53" s="33">
        <f>AB53-AC53</f>
        <v/>
      </c>
      <c r="AE53" s="33">
        <f>IF(AI52&lt;=0,0,ROUND(AI52*(1+'Your debts'!$D$11/1200),2))</f>
        <v/>
      </c>
      <c r="AF53" s="33">
        <f>IF(AE53&lt;=0,0,MIN('Your debts'!$E$11,AE53))</f>
        <v/>
      </c>
      <c r="AG53" s="33">
        <f>AE53-AF53</f>
        <v/>
      </c>
      <c r="AH53" s="33">
        <f>IF('Your debts'!$F$11="",0,MIN(AG53,MAX(0,MAX(0,'Your debts'!$C$19-(G53+L53+Q53+V53+AA53+AF53+AK53+AP53+AU53+AZ53))-(IF(AND('Your debts'!$F$6&lt;&gt;"",'Your debts'!$F$11&lt;&gt;"",'Your debts'!$F$6&lt;'Your debts'!$F$11),H53,0)+IF(AND('Your debts'!$F$7&lt;&gt;"",'Your debts'!$F$11&lt;&gt;"",'Your debts'!$F$7&lt;'Your debts'!$F$11),M53,0)+IF(AND('Your debts'!$F$8&lt;&gt;"",'Your debts'!$F$11&lt;&gt;"",'Your debts'!$F$8&lt;'Your debts'!$F$11),R53,0)+IF(AND('Your debts'!$F$9&lt;&gt;"",'Your debts'!$F$11&lt;&gt;"",'Your debts'!$F$9&lt;'Your debts'!$F$11),W53,0)+IF(AND('Your debts'!$F$10&lt;&gt;"",'Your debts'!$F$11&lt;&gt;"",'Your debts'!$F$10&lt;'Your debts'!$F$11),AB53,0)+IF(AND('Your debts'!$F$12&lt;&gt;"",'Your debts'!$F$11&lt;&gt;"",'Your debts'!$F$12&lt;'Your debts'!$F$11),AL53,0)+IF(AND('Your debts'!$F$13&lt;&gt;"",'Your debts'!$F$11&lt;&gt;"",'Your debts'!$F$13&lt;'Your debts'!$F$11),AQ53,0)+IF(AND('Your debts'!$F$14&lt;&gt;"",'Your debts'!$F$11&lt;&gt;"",'Your debts'!$F$14&lt;'Your debts'!$F$11),AV53,0)+IF(AND('Your debts'!$F$15&lt;&gt;"",'Your debts'!$F$11&lt;&gt;"",'Your debts'!$F$15&lt;'Your debts'!$F$11),BA53,0)))))</f>
        <v/>
      </c>
      <c r="AI53" s="33">
        <f>AG53-AH53</f>
        <v/>
      </c>
      <c r="AJ53" s="33">
        <f>IF(AN52&lt;=0,0,ROUND(AN52*(1+'Your debts'!$D$12/1200),2))</f>
        <v/>
      </c>
      <c r="AK53" s="33">
        <f>IF(AJ53&lt;=0,0,MIN('Your debts'!$E$12,AJ53))</f>
        <v/>
      </c>
      <c r="AL53" s="33">
        <f>AJ53-AK53</f>
        <v/>
      </c>
      <c r="AM53" s="33">
        <f>IF('Your debts'!$F$12="",0,MIN(AL53,MAX(0,MAX(0,'Your debts'!$C$19-(G53+L53+Q53+V53+AA53+AF53+AK53+AP53+AU53+AZ53))-(IF(AND('Your debts'!$F$6&lt;&gt;"",'Your debts'!$F$12&lt;&gt;"",'Your debts'!$F$6&lt;'Your debts'!$F$12),H53,0)+IF(AND('Your debts'!$F$7&lt;&gt;"",'Your debts'!$F$12&lt;&gt;"",'Your debts'!$F$7&lt;'Your debts'!$F$12),M53,0)+IF(AND('Your debts'!$F$8&lt;&gt;"",'Your debts'!$F$12&lt;&gt;"",'Your debts'!$F$8&lt;'Your debts'!$F$12),R53,0)+IF(AND('Your debts'!$F$9&lt;&gt;"",'Your debts'!$F$12&lt;&gt;"",'Your debts'!$F$9&lt;'Your debts'!$F$12),W53,0)+IF(AND('Your debts'!$F$10&lt;&gt;"",'Your debts'!$F$12&lt;&gt;"",'Your debts'!$F$10&lt;'Your debts'!$F$12),AB53,0)+IF(AND('Your debts'!$F$11&lt;&gt;"",'Your debts'!$F$12&lt;&gt;"",'Your debts'!$F$11&lt;'Your debts'!$F$12),AG53,0)+IF(AND('Your debts'!$F$13&lt;&gt;"",'Your debts'!$F$12&lt;&gt;"",'Your debts'!$F$13&lt;'Your debts'!$F$12),AQ53,0)+IF(AND('Your debts'!$F$14&lt;&gt;"",'Your debts'!$F$12&lt;&gt;"",'Your debts'!$F$14&lt;'Your debts'!$F$12),AV53,0)+IF(AND('Your debts'!$F$15&lt;&gt;"",'Your debts'!$F$12&lt;&gt;"",'Your debts'!$F$15&lt;'Your debts'!$F$12),BA53,0)))))</f>
        <v/>
      </c>
      <c r="AN53" s="33">
        <f>AL53-AM53</f>
        <v/>
      </c>
      <c r="AO53" s="33">
        <f>IF(AS52&lt;=0,0,ROUND(AS52*(1+'Your debts'!$D$13/1200),2))</f>
        <v/>
      </c>
      <c r="AP53" s="33">
        <f>IF(AO53&lt;=0,0,MIN('Your debts'!$E$13,AO53))</f>
        <v/>
      </c>
      <c r="AQ53" s="33">
        <f>AO53-AP53</f>
        <v/>
      </c>
      <c r="AR53" s="33">
        <f>IF('Your debts'!$F$13="",0,MIN(AQ53,MAX(0,MAX(0,'Your debts'!$C$19-(G53+L53+Q53+V53+AA53+AF53+AK53+AP53+AU53+AZ53))-(IF(AND('Your debts'!$F$6&lt;&gt;"",'Your debts'!$F$13&lt;&gt;"",'Your debts'!$F$6&lt;'Your debts'!$F$13),H53,0)+IF(AND('Your debts'!$F$7&lt;&gt;"",'Your debts'!$F$13&lt;&gt;"",'Your debts'!$F$7&lt;'Your debts'!$F$13),M53,0)+IF(AND('Your debts'!$F$8&lt;&gt;"",'Your debts'!$F$13&lt;&gt;"",'Your debts'!$F$8&lt;'Your debts'!$F$13),R53,0)+IF(AND('Your debts'!$F$9&lt;&gt;"",'Your debts'!$F$13&lt;&gt;"",'Your debts'!$F$9&lt;'Your debts'!$F$13),W53,0)+IF(AND('Your debts'!$F$10&lt;&gt;"",'Your debts'!$F$13&lt;&gt;"",'Your debts'!$F$10&lt;'Your debts'!$F$13),AB53,0)+IF(AND('Your debts'!$F$11&lt;&gt;"",'Your debts'!$F$13&lt;&gt;"",'Your debts'!$F$11&lt;'Your debts'!$F$13),AG53,0)+IF(AND('Your debts'!$F$12&lt;&gt;"",'Your debts'!$F$13&lt;&gt;"",'Your debts'!$F$12&lt;'Your debts'!$F$13),AL53,0)+IF(AND('Your debts'!$F$14&lt;&gt;"",'Your debts'!$F$13&lt;&gt;"",'Your debts'!$F$14&lt;'Your debts'!$F$13),AV53,0)+IF(AND('Your debts'!$F$15&lt;&gt;"",'Your debts'!$F$13&lt;&gt;"",'Your debts'!$F$15&lt;'Your debts'!$F$13),BA53,0)))))</f>
        <v/>
      </c>
      <c r="AS53" s="33">
        <f>AQ53-AR53</f>
        <v/>
      </c>
      <c r="AT53" s="33">
        <f>IF(AX52&lt;=0,0,ROUND(AX52*(1+'Your debts'!$D$14/1200),2))</f>
        <v/>
      </c>
      <c r="AU53" s="33">
        <f>IF(AT53&lt;=0,0,MIN('Your debts'!$E$14,AT53))</f>
        <v/>
      </c>
      <c r="AV53" s="33">
        <f>AT53-AU53</f>
        <v/>
      </c>
      <c r="AW53" s="33">
        <f>IF('Your debts'!$F$14="",0,MIN(AV53,MAX(0,MAX(0,'Your debts'!$C$19-(G53+L53+Q53+V53+AA53+AF53+AK53+AP53+AU53+AZ53))-(IF(AND('Your debts'!$F$6&lt;&gt;"",'Your debts'!$F$14&lt;&gt;"",'Your debts'!$F$6&lt;'Your debts'!$F$14),H53,0)+IF(AND('Your debts'!$F$7&lt;&gt;"",'Your debts'!$F$14&lt;&gt;"",'Your debts'!$F$7&lt;'Your debts'!$F$14),M53,0)+IF(AND('Your debts'!$F$8&lt;&gt;"",'Your debts'!$F$14&lt;&gt;"",'Your debts'!$F$8&lt;'Your debts'!$F$14),R53,0)+IF(AND('Your debts'!$F$9&lt;&gt;"",'Your debts'!$F$14&lt;&gt;"",'Your debts'!$F$9&lt;'Your debts'!$F$14),W53,0)+IF(AND('Your debts'!$F$10&lt;&gt;"",'Your debts'!$F$14&lt;&gt;"",'Your debts'!$F$10&lt;'Your debts'!$F$14),AB53,0)+IF(AND('Your debts'!$F$11&lt;&gt;"",'Your debts'!$F$14&lt;&gt;"",'Your debts'!$F$11&lt;'Your debts'!$F$14),AG53,0)+IF(AND('Your debts'!$F$12&lt;&gt;"",'Your debts'!$F$14&lt;&gt;"",'Your debts'!$F$12&lt;'Your debts'!$F$14),AL53,0)+IF(AND('Your debts'!$F$13&lt;&gt;"",'Your debts'!$F$14&lt;&gt;"",'Your debts'!$F$13&lt;'Your debts'!$F$14),AQ53,0)+IF(AND('Your debts'!$F$15&lt;&gt;"",'Your debts'!$F$14&lt;&gt;"",'Your debts'!$F$15&lt;'Your debts'!$F$14),BA53,0)))))</f>
        <v/>
      </c>
      <c r="AX53" s="33">
        <f>AV53-AW53</f>
        <v/>
      </c>
      <c r="AY53" s="33">
        <f>IF(BC52&lt;=0,0,ROUND(BC52*(1+'Your debts'!$D$15/1200),2))</f>
        <v/>
      </c>
      <c r="AZ53" s="33">
        <f>IF(AY53&lt;=0,0,MIN('Your debts'!$E$15,AY53))</f>
        <v/>
      </c>
      <c r="BA53" s="33">
        <f>AY53-AZ53</f>
        <v/>
      </c>
      <c r="BB53" s="33">
        <f>IF('Your debts'!$F$15="",0,MIN(BA53,MAX(0,MAX(0,'Your debts'!$C$19-(G53+L53+Q53+V53+AA53+AF53+AK53+AP53+AU53+AZ53))-(IF(AND('Your debts'!$F$6&lt;&gt;"",'Your debts'!$F$15&lt;&gt;"",'Your debts'!$F$6&lt;'Your debts'!$F$15),H53,0)+IF(AND('Your debts'!$F$7&lt;&gt;"",'Your debts'!$F$15&lt;&gt;"",'Your debts'!$F$7&lt;'Your debts'!$F$15),M53,0)+IF(AND('Your debts'!$F$8&lt;&gt;"",'Your debts'!$F$15&lt;&gt;"",'Your debts'!$F$8&lt;'Your debts'!$F$15),R53,0)+IF(AND('Your debts'!$F$9&lt;&gt;"",'Your debts'!$F$15&lt;&gt;"",'Your debts'!$F$9&lt;'Your debts'!$F$15),W53,0)+IF(AND('Your debts'!$F$10&lt;&gt;"",'Your debts'!$F$15&lt;&gt;"",'Your debts'!$F$10&lt;'Your debts'!$F$15),AB53,0)+IF(AND('Your debts'!$F$11&lt;&gt;"",'Your debts'!$F$15&lt;&gt;"",'Your debts'!$F$11&lt;'Your debts'!$F$15),AG53,0)+IF(AND('Your debts'!$F$12&lt;&gt;"",'Your debts'!$F$15&lt;&gt;"",'Your debts'!$F$12&lt;'Your debts'!$F$15),AL53,0)+IF(AND('Your debts'!$F$13&lt;&gt;"",'Your debts'!$F$15&lt;&gt;"",'Your debts'!$F$13&lt;'Your debts'!$F$15),AQ53,0)+IF(AND('Your debts'!$F$14&lt;&gt;"",'Your debts'!$F$15&lt;&gt;"",'Your debts'!$F$14&lt;'Your debts'!$F$15),AV53,0)))))</f>
        <v/>
      </c>
      <c r="BC53" s="33">
        <f>BA53-BB53</f>
        <v/>
      </c>
    </row>
    <row r="54">
      <c r="A54" s="30" t="n">
        <v>39</v>
      </c>
      <c r="B54" s="31">
        <f>EDATE($B$15,39)</f>
        <v/>
      </c>
      <c r="C54" s="32">
        <f>IF(J53&lt;=0,0,F54-J53)+IF(O53&lt;=0,0,K54-O53)+IF(T53&lt;=0,0,P54-T53)+IF(Y53&lt;=0,0,U54-Y53)+IF(AD53&lt;=0,0,Z54-AD53)+IF(AI53&lt;=0,0,AE54-AI53)+IF(AN53&lt;=0,0,AJ54-AN53)+IF(AS53&lt;=0,0,AO54-AS53)+IF(AX53&lt;=0,0,AT54-AX53)+IF(BC53&lt;=0,0,AY54-BC53)</f>
        <v/>
      </c>
      <c r="D54" s="32">
        <f>G54+I54+L54+N54+Q54+S54+V54+X54+AA54+AC54+AF54+AH54+AK54+AM54+AP54+AR54+AU54+AW54+AZ54+BB54</f>
        <v/>
      </c>
      <c r="E54" s="32">
        <f>J54+O54+T54+Y54+AD54+AI54+AN54+AS54+AX54+BC54</f>
        <v/>
      </c>
      <c r="F54" s="33">
        <f>IF(J53&lt;=0,0,ROUND(J53*(1+'Your debts'!$D$6/1200),2))</f>
        <v/>
      </c>
      <c r="G54" s="33">
        <f>IF(F54&lt;=0,0,MIN('Your debts'!$E$6,F54))</f>
        <v/>
      </c>
      <c r="H54" s="33">
        <f>F54-G54</f>
        <v/>
      </c>
      <c r="I54" s="33">
        <f>IF('Your debts'!$F$6="",0,MIN(H54,MAX(0,MAX(0,'Your debts'!$C$19-(G54+L54+Q54+V54+AA54+AF54+AK54+AP54+AU54+AZ54))-(IF(AND('Your debts'!$F$7&lt;&gt;"",'Your debts'!$F$6&lt;&gt;"",'Your debts'!$F$7&lt;'Your debts'!$F$6),M54,0)+IF(AND('Your debts'!$F$8&lt;&gt;"",'Your debts'!$F$6&lt;&gt;"",'Your debts'!$F$8&lt;'Your debts'!$F$6),R54,0)+IF(AND('Your debts'!$F$9&lt;&gt;"",'Your debts'!$F$6&lt;&gt;"",'Your debts'!$F$9&lt;'Your debts'!$F$6),W54,0)+IF(AND('Your debts'!$F$10&lt;&gt;"",'Your debts'!$F$6&lt;&gt;"",'Your debts'!$F$10&lt;'Your debts'!$F$6),AB54,0)+IF(AND('Your debts'!$F$11&lt;&gt;"",'Your debts'!$F$6&lt;&gt;"",'Your debts'!$F$11&lt;'Your debts'!$F$6),AG54,0)+IF(AND('Your debts'!$F$12&lt;&gt;"",'Your debts'!$F$6&lt;&gt;"",'Your debts'!$F$12&lt;'Your debts'!$F$6),AL54,0)+IF(AND('Your debts'!$F$13&lt;&gt;"",'Your debts'!$F$6&lt;&gt;"",'Your debts'!$F$13&lt;'Your debts'!$F$6),AQ54,0)+IF(AND('Your debts'!$F$14&lt;&gt;"",'Your debts'!$F$6&lt;&gt;"",'Your debts'!$F$14&lt;'Your debts'!$F$6),AV54,0)+IF(AND('Your debts'!$F$15&lt;&gt;"",'Your debts'!$F$6&lt;&gt;"",'Your debts'!$F$15&lt;'Your debts'!$F$6),BA54,0)))))</f>
        <v/>
      </c>
      <c r="J54" s="33">
        <f>H54-I54</f>
        <v/>
      </c>
      <c r="K54" s="33">
        <f>IF(O53&lt;=0,0,ROUND(O53*(1+'Your debts'!$D$7/1200),2))</f>
        <v/>
      </c>
      <c r="L54" s="33">
        <f>IF(K54&lt;=0,0,MIN('Your debts'!$E$7,K54))</f>
        <v/>
      </c>
      <c r="M54" s="33">
        <f>K54-L54</f>
        <v/>
      </c>
      <c r="N54" s="33">
        <f>IF('Your debts'!$F$7="",0,MIN(M54,MAX(0,MAX(0,'Your debts'!$C$19-(G54+L54+Q54+V54+AA54+AF54+AK54+AP54+AU54+AZ54))-(IF(AND('Your debts'!$F$6&lt;&gt;"",'Your debts'!$F$7&lt;&gt;"",'Your debts'!$F$6&lt;'Your debts'!$F$7),H54,0)+IF(AND('Your debts'!$F$8&lt;&gt;"",'Your debts'!$F$7&lt;&gt;"",'Your debts'!$F$8&lt;'Your debts'!$F$7),R54,0)+IF(AND('Your debts'!$F$9&lt;&gt;"",'Your debts'!$F$7&lt;&gt;"",'Your debts'!$F$9&lt;'Your debts'!$F$7),W54,0)+IF(AND('Your debts'!$F$10&lt;&gt;"",'Your debts'!$F$7&lt;&gt;"",'Your debts'!$F$10&lt;'Your debts'!$F$7),AB54,0)+IF(AND('Your debts'!$F$11&lt;&gt;"",'Your debts'!$F$7&lt;&gt;"",'Your debts'!$F$11&lt;'Your debts'!$F$7),AG54,0)+IF(AND('Your debts'!$F$12&lt;&gt;"",'Your debts'!$F$7&lt;&gt;"",'Your debts'!$F$12&lt;'Your debts'!$F$7),AL54,0)+IF(AND('Your debts'!$F$13&lt;&gt;"",'Your debts'!$F$7&lt;&gt;"",'Your debts'!$F$13&lt;'Your debts'!$F$7),AQ54,0)+IF(AND('Your debts'!$F$14&lt;&gt;"",'Your debts'!$F$7&lt;&gt;"",'Your debts'!$F$14&lt;'Your debts'!$F$7),AV54,0)+IF(AND('Your debts'!$F$15&lt;&gt;"",'Your debts'!$F$7&lt;&gt;"",'Your debts'!$F$15&lt;'Your debts'!$F$7),BA54,0)))))</f>
        <v/>
      </c>
      <c r="O54" s="33">
        <f>M54-N54</f>
        <v/>
      </c>
      <c r="P54" s="33">
        <f>IF(T53&lt;=0,0,ROUND(T53*(1+'Your debts'!$D$8/1200),2))</f>
        <v/>
      </c>
      <c r="Q54" s="33">
        <f>IF(P54&lt;=0,0,MIN('Your debts'!$E$8,P54))</f>
        <v/>
      </c>
      <c r="R54" s="33">
        <f>P54-Q54</f>
        <v/>
      </c>
      <c r="S54" s="33">
        <f>IF('Your debts'!$F$8="",0,MIN(R54,MAX(0,MAX(0,'Your debts'!$C$19-(G54+L54+Q54+V54+AA54+AF54+AK54+AP54+AU54+AZ54))-(IF(AND('Your debts'!$F$6&lt;&gt;"",'Your debts'!$F$8&lt;&gt;"",'Your debts'!$F$6&lt;'Your debts'!$F$8),H54,0)+IF(AND('Your debts'!$F$7&lt;&gt;"",'Your debts'!$F$8&lt;&gt;"",'Your debts'!$F$7&lt;'Your debts'!$F$8),M54,0)+IF(AND('Your debts'!$F$9&lt;&gt;"",'Your debts'!$F$8&lt;&gt;"",'Your debts'!$F$9&lt;'Your debts'!$F$8),W54,0)+IF(AND('Your debts'!$F$10&lt;&gt;"",'Your debts'!$F$8&lt;&gt;"",'Your debts'!$F$10&lt;'Your debts'!$F$8),AB54,0)+IF(AND('Your debts'!$F$11&lt;&gt;"",'Your debts'!$F$8&lt;&gt;"",'Your debts'!$F$11&lt;'Your debts'!$F$8),AG54,0)+IF(AND('Your debts'!$F$12&lt;&gt;"",'Your debts'!$F$8&lt;&gt;"",'Your debts'!$F$12&lt;'Your debts'!$F$8),AL54,0)+IF(AND('Your debts'!$F$13&lt;&gt;"",'Your debts'!$F$8&lt;&gt;"",'Your debts'!$F$13&lt;'Your debts'!$F$8),AQ54,0)+IF(AND('Your debts'!$F$14&lt;&gt;"",'Your debts'!$F$8&lt;&gt;"",'Your debts'!$F$14&lt;'Your debts'!$F$8),AV54,0)+IF(AND('Your debts'!$F$15&lt;&gt;"",'Your debts'!$F$8&lt;&gt;"",'Your debts'!$F$15&lt;'Your debts'!$F$8),BA54,0)))))</f>
        <v/>
      </c>
      <c r="T54" s="33">
        <f>R54-S54</f>
        <v/>
      </c>
      <c r="U54" s="33">
        <f>IF(Y53&lt;=0,0,ROUND(Y53*(1+'Your debts'!$D$9/1200),2))</f>
        <v/>
      </c>
      <c r="V54" s="33">
        <f>IF(U54&lt;=0,0,MIN('Your debts'!$E$9,U54))</f>
        <v/>
      </c>
      <c r="W54" s="33">
        <f>U54-V54</f>
        <v/>
      </c>
      <c r="X54" s="33">
        <f>IF('Your debts'!$F$9="",0,MIN(W54,MAX(0,MAX(0,'Your debts'!$C$19-(G54+L54+Q54+V54+AA54+AF54+AK54+AP54+AU54+AZ54))-(IF(AND('Your debts'!$F$6&lt;&gt;"",'Your debts'!$F$9&lt;&gt;"",'Your debts'!$F$6&lt;'Your debts'!$F$9),H54,0)+IF(AND('Your debts'!$F$7&lt;&gt;"",'Your debts'!$F$9&lt;&gt;"",'Your debts'!$F$7&lt;'Your debts'!$F$9),M54,0)+IF(AND('Your debts'!$F$8&lt;&gt;"",'Your debts'!$F$9&lt;&gt;"",'Your debts'!$F$8&lt;'Your debts'!$F$9),R54,0)+IF(AND('Your debts'!$F$10&lt;&gt;"",'Your debts'!$F$9&lt;&gt;"",'Your debts'!$F$10&lt;'Your debts'!$F$9),AB54,0)+IF(AND('Your debts'!$F$11&lt;&gt;"",'Your debts'!$F$9&lt;&gt;"",'Your debts'!$F$11&lt;'Your debts'!$F$9),AG54,0)+IF(AND('Your debts'!$F$12&lt;&gt;"",'Your debts'!$F$9&lt;&gt;"",'Your debts'!$F$12&lt;'Your debts'!$F$9),AL54,0)+IF(AND('Your debts'!$F$13&lt;&gt;"",'Your debts'!$F$9&lt;&gt;"",'Your debts'!$F$13&lt;'Your debts'!$F$9),AQ54,0)+IF(AND('Your debts'!$F$14&lt;&gt;"",'Your debts'!$F$9&lt;&gt;"",'Your debts'!$F$14&lt;'Your debts'!$F$9),AV54,0)+IF(AND('Your debts'!$F$15&lt;&gt;"",'Your debts'!$F$9&lt;&gt;"",'Your debts'!$F$15&lt;'Your debts'!$F$9),BA54,0)))))</f>
        <v/>
      </c>
      <c r="Y54" s="33">
        <f>W54-X54</f>
        <v/>
      </c>
      <c r="Z54" s="33">
        <f>IF(AD53&lt;=0,0,ROUND(AD53*(1+'Your debts'!$D$10/1200),2))</f>
        <v/>
      </c>
      <c r="AA54" s="33">
        <f>IF(Z54&lt;=0,0,MIN('Your debts'!$E$10,Z54))</f>
        <v/>
      </c>
      <c r="AB54" s="33">
        <f>Z54-AA54</f>
        <v/>
      </c>
      <c r="AC54" s="33">
        <f>IF('Your debts'!$F$10="",0,MIN(AB54,MAX(0,MAX(0,'Your debts'!$C$19-(G54+L54+Q54+V54+AA54+AF54+AK54+AP54+AU54+AZ54))-(IF(AND('Your debts'!$F$6&lt;&gt;"",'Your debts'!$F$10&lt;&gt;"",'Your debts'!$F$6&lt;'Your debts'!$F$10),H54,0)+IF(AND('Your debts'!$F$7&lt;&gt;"",'Your debts'!$F$10&lt;&gt;"",'Your debts'!$F$7&lt;'Your debts'!$F$10),M54,0)+IF(AND('Your debts'!$F$8&lt;&gt;"",'Your debts'!$F$10&lt;&gt;"",'Your debts'!$F$8&lt;'Your debts'!$F$10),R54,0)+IF(AND('Your debts'!$F$9&lt;&gt;"",'Your debts'!$F$10&lt;&gt;"",'Your debts'!$F$9&lt;'Your debts'!$F$10),W54,0)+IF(AND('Your debts'!$F$11&lt;&gt;"",'Your debts'!$F$10&lt;&gt;"",'Your debts'!$F$11&lt;'Your debts'!$F$10),AG54,0)+IF(AND('Your debts'!$F$12&lt;&gt;"",'Your debts'!$F$10&lt;&gt;"",'Your debts'!$F$12&lt;'Your debts'!$F$10),AL54,0)+IF(AND('Your debts'!$F$13&lt;&gt;"",'Your debts'!$F$10&lt;&gt;"",'Your debts'!$F$13&lt;'Your debts'!$F$10),AQ54,0)+IF(AND('Your debts'!$F$14&lt;&gt;"",'Your debts'!$F$10&lt;&gt;"",'Your debts'!$F$14&lt;'Your debts'!$F$10),AV54,0)+IF(AND('Your debts'!$F$15&lt;&gt;"",'Your debts'!$F$10&lt;&gt;"",'Your debts'!$F$15&lt;'Your debts'!$F$10),BA54,0)))))</f>
        <v/>
      </c>
      <c r="AD54" s="33">
        <f>AB54-AC54</f>
        <v/>
      </c>
      <c r="AE54" s="33">
        <f>IF(AI53&lt;=0,0,ROUND(AI53*(1+'Your debts'!$D$11/1200),2))</f>
        <v/>
      </c>
      <c r="AF54" s="33">
        <f>IF(AE54&lt;=0,0,MIN('Your debts'!$E$11,AE54))</f>
        <v/>
      </c>
      <c r="AG54" s="33">
        <f>AE54-AF54</f>
        <v/>
      </c>
      <c r="AH54" s="33">
        <f>IF('Your debts'!$F$11="",0,MIN(AG54,MAX(0,MAX(0,'Your debts'!$C$19-(G54+L54+Q54+V54+AA54+AF54+AK54+AP54+AU54+AZ54))-(IF(AND('Your debts'!$F$6&lt;&gt;"",'Your debts'!$F$11&lt;&gt;"",'Your debts'!$F$6&lt;'Your debts'!$F$11),H54,0)+IF(AND('Your debts'!$F$7&lt;&gt;"",'Your debts'!$F$11&lt;&gt;"",'Your debts'!$F$7&lt;'Your debts'!$F$11),M54,0)+IF(AND('Your debts'!$F$8&lt;&gt;"",'Your debts'!$F$11&lt;&gt;"",'Your debts'!$F$8&lt;'Your debts'!$F$11),R54,0)+IF(AND('Your debts'!$F$9&lt;&gt;"",'Your debts'!$F$11&lt;&gt;"",'Your debts'!$F$9&lt;'Your debts'!$F$11),W54,0)+IF(AND('Your debts'!$F$10&lt;&gt;"",'Your debts'!$F$11&lt;&gt;"",'Your debts'!$F$10&lt;'Your debts'!$F$11),AB54,0)+IF(AND('Your debts'!$F$12&lt;&gt;"",'Your debts'!$F$11&lt;&gt;"",'Your debts'!$F$12&lt;'Your debts'!$F$11),AL54,0)+IF(AND('Your debts'!$F$13&lt;&gt;"",'Your debts'!$F$11&lt;&gt;"",'Your debts'!$F$13&lt;'Your debts'!$F$11),AQ54,0)+IF(AND('Your debts'!$F$14&lt;&gt;"",'Your debts'!$F$11&lt;&gt;"",'Your debts'!$F$14&lt;'Your debts'!$F$11),AV54,0)+IF(AND('Your debts'!$F$15&lt;&gt;"",'Your debts'!$F$11&lt;&gt;"",'Your debts'!$F$15&lt;'Your debts'!$F$11),BA54,0)))))</f>
        <v/>
      </c>
      <c r="AI54" s="33">
        <f>AG54-AH54</f>
        <v/>
      </c>
      <c r="AJ54" s="33">
        <f>IF(AN53&lt;=0,0,ROUND(AN53*(1+'Your debts'!$D$12/1200),2))</f>
        <v/>
      </c>
      <c r="AK54" s="33">
        <f>IF(AJ54&lt;=0,0,MIN('Your debts'!$E$12,AJ54))</f>
        <v/>
      </c>
      <c r="AL54" s="33">
        <f>AJ54-AK54</f>
        <v/>
      </c>
      <c r="AM54" s="33">
        <f>IF('Your debts'!$F$12="",0,MIN(AL54,MAX(0,MAX(0,'Your debts'!$C$19-(G54+L54+Q54+V54+AA54+AF54+AK54+AP54+AU54+AZ54))-(IF(AND('Your debts'!$F$6&lt;&gt;"",'Your debts'!$F$12&lt;&gt;"",'Your debts'!$F$6&lt;'Your debts'!$F$12),H54,0)+IF(AND('Your debts'!$F$7&lt;&gt;"",'Your debts'!$F$12&lt;&gt;"",'Your debts'!$F$7&lt;'Your debts'!$F$12),M54,0)+IF(AND('Your debts'!$F$8&lt;&gt;"",'Your debts'!$F$12&lt;&gt;"",'Your debts'!$F$8&lt;'Your debts'!$F$12),R54,0)+IF(AND('Your debts'!$F$9&lt;&gt;"",'Your debts'!$F$12&lt;&gt;"",'Your debts'!$F$9&lt;'Your debts'!$F$12),W54,0)+IF(AND('Your debts'!$F$10&lt;&gt;"",'Your debts'!$F$12&lt;&gt;"",'Your debts'!$F$10&lt;'Your debts'!$F$12),AB54,0)+IF(AND('Your debts'!$F$11&lt;&gt;"",'Your debts'!$F$12&lt;&gt;"",'Your debts'!$F$11&lt;'Your debts'!$F$12),AG54,0)+IF(AND('Your debts'!$F$13&lt;&gt;"",'Your debts'!$F$12&lt;&gt;"",'Your debts'!$F$13&lt;'Your debts'!$F$12),AQ54,0)+IF(AND('Your debts'!$F$14&lt;&gt;"",'Your debts'!$F$12&lt;&gt;"",'Your debts'!$F$14&lt;'Your debts'!$F$12),AV54,0)+IF(AND('Your debts'!$F$15&lt;&gt;"",'Your debts'!$F$12&lt;&gt;"",'Your debts'!$F$15&lt;'Your debts'!$F$12),BA54,0)))))</f>
        <v/>
      </c>
      <c r="AN54" s="33">
        <f>AL54-AM54</f>
        <v/>
      </c>
      <c r="AO54" s="33">
        <f>IF(AS53&lt;=0,0,ROUND(AS53*(1+'Your debts'!$D$13/1200),2))</f>
        <v/>
      </c>
      <c r="AP54" s="33">
        <f>IF(AO54&lt;=0,0,MIN('Your debts'!$E$13,AO54))</f>
        <v/>
      </c>
      <c r="AQ54" s="33">
        <f>AO54-AP54</f>
        <v/>
      </c>
      <c r="AR54" s="33">
        <f>IF('Your debts'!$F$13="",0,MIN(AQ54,MAX(0,MAX(0,'Your debts'!$C$19-(G54+L54+Q54+V54+AA54+AF54+AK54+AP54+AU54+AZ54))-(IF(AND('Your debts'!$F$6&lt;&gt;"",'Your debts'!$F$13&lt;&gt;"",'Your debts'!$F$6&lt;'Your debts'!$F$13),H54,0)+IF(AND('Your debts'!$F$7&lt;&gt;"",'Your debts'!$F$13&lt;&gt;"",'Your debts'!$F$7&lt;'Your debts'!$F$13),M54,0)+IF(AND('Your debts'!$F$8&lt;&gt;"",'Your debts'!$F$13&lt;&gt;"",'Your debts'!$F$8&lt;'Your debts'!$F$13),R54,0)+IF(AND('Your debts'!$F$9&lt;&gt;"",'Your debts'!$F$13&lt;&gt;"",'Your debts'!$F$9&lt;'Your debts'!$F$13),W54,0)+IF(AND('Your debts'!$F$10&lt;&gt;"",'Your debts'!$F$13&lt;&gt;"",'Your debts'!$F$10&lt;'Your debts'!$F$13),AB54,0)+IF(AND('Your debts'!$F$11&lt;&gt;"",'Your debts'!$F$13&lt;&gt;"",'Your debts'!$F$11&lt;'Your debts'!$F$13),AG54,0)+IF(AND('Your debts'!$F$12&lt;&gt;"",'Your debts'!$F$13&lt;&gt;"",'Your debts'!$F$12&lt;'Your debts'!$F$13),AL54,0)+IF(AND('Your debts'!$F$14&lt;&gt;"",'Your debts'!$F$13&lt;&gt;"",'Your debts'!$F$14&lt;'Your debts'!$F$13),AV54,0)+IF(AND('Your debts'!$F$15&lt;&gt;"",'Your debts'!$F$13&lt;&gt;"",'Your debts'!$F$15&lt;'Your debts'!$F$13),BA54,0)))))</f>
        <v/>
      </c>
      <c r="AS54" s="33">
        <f>AQ54-AR54</f>
        <v/>
      </c>
      <c r="AT54" s="33">
        <f>IF(AX53&lt;=0,0,ROUND(AX53*(1+'Your debts'!$D$14/1200),2))</f>
        <v/>
      </c>
      <c r="AU54" s="33">
        <f>IF(AT54&lt;=0,0,MIN('Your debts'!$E$14,AT54))</f>
        <v/>
      </c>
      <c r="AV54" s="33">
        <f>AT54-AU54</f>
        <v/>
      </c>
      <c r="AW54" s="33">
        <f>IF('Your debts'!$F$14="",0,MIN(AV54,MAX(0,MAX(0,'Your debts'!$C$19-(G54+L54+Q54+V54+AA54+AF54+AK54+AP54+AU54+AZ54))-(IF(AND('Your debts'!$F$6&lt;&gt;"",'Your debts'!$F$14&lt;&gt;"",'Your debts'!$F$6&lt;'Your debts'!$F$14),H54,0)+IF(AND('Your debts'!$F$7&lt;&gt;"",'Your debts'!$F$14&lt;&gt;"",'Your debts'!$F$7&lt;'Your debts'!$F$14),M54,0)+IF(AND('Your debts'!$F$8&lt;&gt;"",'Your debts'!$F$14&lt;&gt;"",'Your debts'!$F$8&lt;'Your debts'!$F$14),R54,0)+IF(AND('Your debts'!$F$9&lt;&gt;"",'Your debts'!$F$14&lt;&gt;"",'Your debts'!$F$9&lt;'Your debts'!$F$14),W54,0)+IF(AND('Your debts'!$F$10&lt;&gt;"",'Your debts'!$F$14&lt;&gt;"",'Your debts'!$F$10&lt;'Your debts'!$F$14),AB54,0)+IF(AND('Your debts'!$F$11&lt;&gt;"",'Your debts'!$F$14&lt;&gt;"",'Your debts'!$F$11&lt;'Your debts'!$F$14),AG54,0)+IF(AND('Your debts'!$F$12&lt;&gt;"",'Your debts'!$F$14&lt;&gt;"",'Your debts'!$F$12&lt;'Your debts'!$F$14),AL54,0)+IF(AND('Your debts'!$F$13&lt;&gt;"",'Your debts'!$F$14&lt;&gt;"",'Your debts'!$F$13&lt;'Your debts'!$F$14),AQ54,0)+IF(AND('Your debts'!$F$15&lt;&gt;"",'Your debts'!$F$14&lt;&gt;"",'Your debts'!$F$15&lt;'Your debts'!$F$14),BA54,0)))))</f>
        <v/>
      </c>
      <c r="AX54" s="33">
        <f>AV54-AW54</f>
        <v/>
      </c>
      <c r="AY54" s="33">
        <f>IF(BC53&lt;=0,0,ROUND(BC53*(1+'Your debts'!$D$15/1200),2))</f>
        <v/>
      </c>
      <c r="AZ54" s="33">
        <f>IF(AY54&lt;=0,0,MIN('Your debts'!$E$15,AY54))</f>
        <v/>
      </c>
      <c r="BA54" s="33">
        <f>AY54-AZ54</f>
        <v/>
      </c>
      <c r="BB54" s="33">
        <f>IF('Your debts'!$F$15="",0,MIN(BA54,MAX(0,MAX(0,'Your debts'!$C$19-(G54+L54+Q54+V54+AA54+AF54+AK54+AP54+AU54+AZ54))-(IF(AND('Your debts'!$F$6&lt;&gt;"",'Your debts'!$F$15&lt;&gt;"",'Your debts'!$F$6&lt;'Your debts'!$F$15),H54,0)+IF(AND('Your debts'!$F$7&lt;&gt;"",'Your debts'!$F$15&lt;&gt;"",'Your debts'!$F$7&lt;'Your debts'!$F$15),M54,0)+IF(AND('Your debts'!$F$8&lt;&gt;"",'Your debts'!$F$15&lt;&gt;"",'Your debts'!$F$8&lt;'Your debts'!$F$15),R54,0)+IF(AND('Your debts'!$F$9&lt;&gt;"",'Your debts'!$F$15&lt;&gt;"",'Your debts'!$F$9&lt;'Your debts'!$F$15),W54,0)+IF(AND('Your debts'!$F$10&lt;&gt;"",'Your debts'!$F$15&lt;&gt;"",'Your debts'!$F$10&lt;'Your debts'!$F$15),AB54,0)+IF(AND('Your debts'!$F$11&lt;&gt;"",'Your debts'!$F$15&lt;&gt;"",'Your debts'!$F$11&lt;'Your debts'!$F$15),AG54,0)+IF(AND('Your debts'!$F$12&lt;&gt;"",'Your debts'!$F$15&lt;&gt;"",'Your debts'!$F$12&lt;'Your debts'!$F$15),AL54,0)+IF(AND('Your debts'!$F$13&lt;&gt;"",'Your debts'!$F$15&lt;&gt;"",'Your debts'!$F$13&lt;'Your debts'!$F$15),AQ54,0)+IF(AND('Your debts'!$F$14&lt;&gt;"",'Your debts'!$F$15&lt;&gt;"",'Your debts'!$F$14&lt;'Your debts'!$F$15),AV54,0)))))</f>
        <v/>
      </c>
      <c r="BC54" s="33">
        <f>BA54-BB54</f>
        <v/>
      </c>
    </row>
    <row r="55">
      <c r="A55" s="30" t="n">
        <v>40</v>
      </c>
      <c r="B55" s="31">
        <f>EDATE($B$15,40)</f>
        <v/>
      </c>
      <c r="C55" s="32">
        <f>IF(J54&lt;=0,0,F55-J54)+IF(O54&lt;=0,0,K55-O54)+IF(T54&lt;=0,0,P55-T54)+IF(Y54&lt;=0,0,U55-Y54)+IF(AD54&lt;=0,0,Z55-AD54)+IF(AI54&lt;=0,0,AE55-AI54)+IF(AN54&lt;=0,0,AJ55-AN54)+IF(AS54&lt;=0,0,AO55-AS54)+IF(AX54&lt;=0,0,AT55-AX54)+IF(BC54&lt;=0,0,AY55-BC54)</f>
        <v/>
      </c>
      <c r="D55" s="32">
        <f>G55+I55+L55+N55+Q55+S55+V55+X55+AA55+AC55+AF55+AH55+AK55+AM55+AP55+AR55+AU55+AW55+AZ55+BB55</f>
        <v/>
      </c>
      <c r="E55" s="32">
        <f>J55+O55+T55+Y55+AD55+AI55+AN55+AS55+AX55+BC55</f>
        <v/>
      </c>
      <c r="F55" s="33">
        <f>IF(J54&lt;=0,0,ROUND(J54*(1+'Your debts'!$D$6/1200),2))</f>
        <v/>
      </c>
      <c r="G55" s="33">
        <f>IF(F55&lt;=0,0,MIN('Your debts'!$E$6,F55))</f>
        <v/>
      </c>
      <c r="H55" s="33">
        <f>F55-G55</f>
        <v/>
      </c>
      <c r="I55" s="33">
        <f>IF('Your debts'!$F$6="",0,MIN(H55,MAX(0,MAX(0,'Your debts'!$C$19-(G55+L55+Q55+V55+AA55+AF55+AK55+AP55+AU55+AZ55))-(IF(AND('Your debts'!$F$7&lt;&gt;"",'Your debts'!$F$6&lt;&gt;"",'Your debts'!$F$7&lt;'Your debts'!$F$6),M55,0)+IF(AND('Your debts'!$F$8&lt;&gt;"",'Your debts'!$F$6&lt;&gt;"",'Your debts'!$F$8&lt;'Your debts'!$F$6),R55,0)+IF(AND('Your debts'!$F$9&lt;&gt;"",'Your debts'!$F$6&lt;&gt;"",'Your debts'!$F$9&lt;'Your debts'!$F$6),W55,0)+IF(AND('Your debts'!$F$10&lt;&gt;"",'Your debts'!$F$6&lt;&gt;"",'Your debts'!$F$10&lt;'Your debts'!$F$6),AB55,0)+IF(AND('Your debts'!$F$11&lt;&gt;"",'Your debts'!$F$6&lt;&gt;"",'Your debts'!$F$11&lt;'Your debts'!$F$6),AG55,0)+IF(AND('Your debts'!$F$12&lt;&gt;"",'Your debts'!$F$6&lt;&gt;"",'Your debts'!$F$12&lt;'Your debts'!$F$6),AL55,0)+IF(AND('Your debts'!$F$13&lt;&gt;"",'Your debts'!$F$6&lt;&gt;"",'Your debts'!$F$13&lt;'Your debts'!$F$6),AQ55,0)+IF(AND('Your debts'!$F$14&lt;&gt;"",'Your debts'!$F$6&lt;&gt;"",'Your debts'!$F$14&lt;'Your debts'!$F$6),AV55,0)+IF(AND('Your debts'!$F$15&lt;&gt;"",'Your debts'!$F$6&lt;&gt;"",'Your debts'!$F$15&lt;'Your debts'!$F$6),BA55,0)))))</f>
        <v/>
      </c>
      <c r="J55" s="33">
        <f>H55-I55</f>
        <v/>
      </c>
      <c r="K55" s="33">
        <f>IF(O54&lt;=0,0,ROUND(O54*(1+'Your debts'!$D$7/1200),2))</f>
        <v/>
      </c>
      <c r="L55" s="33">
        <f>IF(K55&lt;=0,0,MIN('Your debts'!$E$7,K55))</f>
        <v/>
      </c>
      <c r="M55" s="33">
        <f>K55-L55</f>
        <v/>
      </c>
      <c r="N55" s="33">
        <f>IF('Your debts'!$F$7="",0,MIN(M55,MAX(0,MAX(0,'Your debts'!$C$19-(G55+L55+Q55+V55+AA55+AF55+AK55+AP55+AU55+AZ55))-(IF(AND('Your debts'!$F$6&lt;&gt;"",'Your debts'!$F$7&lt;&gt;"",'Your debts'!$F$6&lt;'Your debts'!$F$7),H55,0)+IF(AND('Your debts'!$F$8&lt;&gt;"",'Your debts'!$F$7&lt;&gt;"",'Your debts'!$F$8&lt;'Your debts'!$F$7),R55,0)+IF(AND('Your debts'!$F$9&lt;&gt;"",'Your debts'!$F$7&lt;&gt;"",'Your debts'!$F$9&lt;'Your debts'!$F$7),W55,0)+IF(AND('Your debts'!$F$10&lt;&gt;"",'Your debts'!$F$7&lt;&gt;"",'Your debts'!$F$10&lt;'Your debts'!$F$7),AB55,0)+IF(AND('Your debts'!$F$11&lt;&gt;"",'Your debts'!$F$7&lt;&gt;"",'Your debts'!$F$11&lt;'Your debts'!$F$7),AG55,0)+IF(AND('Your debts'!$F$12&lt;&gt;"",'Your debts'!$F$7&lt;&gt;"",'Your debts'!$F$12&lt;'Your debts'!$F$7),AL55,0)+IF(AND('Your debts'!$F$13&lt;&gt;"",'Your debts'!$F$7&lt;&gt;"",'Your debts'!$F$13&lt;'Your debts'!$F$7),AQ55,0)+IF(AND('Your debts'!$F$14&lt;&gt;"",'Your debts'!$F$7&lt;&gt;"",'Your debts'!$F$14&lt;'Your debts'!$F$7),AV55,0)+IF(AND('Your debts'!$F$15&lt;&gt;"",'Your debts'!$F$7&lt;&gt;"",'Your debts'!$F$15&lt;'Your debts'!$F$7),BA55,0)))))</f>
        <v/>
      </c>
      <c r="O55" s="33">
        <f>M55-N55</f>
        <v/>
      </c>
      <c r="P55" s="33">
        <f>IF(T54&lt;=0,0,ROUND(T54*(1+'Your debts'!$D$8/1200),2))</f>
        <v/>
      </c>
      <c r="Q55" s="33">
        <f>IF(P55&lt;=0,0,MIN('Your debts'!$E$8,P55))</f>
        <v/>
      </c>
      <c r="R55" s="33">
        <f>P55-Q55</f>
        <v/>
      </c>
      <c r="S55" s="33">
        <f>IF('Your debts'!$F$8="",0,MIN(R55,MAX(0,MAX(0,'Your debts'!$C$19-(G55+L55+Q55+V55+AA55+AF55+AK55+AP55+AU55+AZ55))-(IF(AND('Your debts'!$F$6&lt;&gt;"",'Your debts'!$F$8&lt;&gt;"",'Your debts'!$F$6&lt;'Your debts'!$F$8),H55,0)+IF(AND('Your debts'!$F$7&lt;&gt;"",'Your debts'!$F$8&lt;&gt;"",'Your debts'!$F$7&lt;'Your debts'!$F$8),M55,0)+IF(AND('Your debts'!$F$9&lt;&gt;"",'Your debts'!$F$8&lt;&gt;"",'Your debts'!$F$9&lt;'Your debts'!$F$8),W55,0)+IF(AND('Your debts'!$F$10&lt;&gt;"",'Your debts'!$F$8&lt;&gt;"",'Your debts'!$F$10&lt;'Your debts'!$F$8),AB55,0)+IF(AND('Your debts'!$F$11&lt;&gt;"",'Your debts'!$F$8&lt;&gt;"",'Your debts'!$F$11&lt;'Your debts'!$F$8),AG55,0)+IF(AND('Your debts'!$F$12&lt;&gt;"",'Your debts'!$F$8&lt;&gt;"",'Your debts'!$F$12&lt;'Your debts'!$F$8),AL55,0)+IF(AND('Your debts'!$F$13&lt;&gt;"",'Your debts'!$F$8&lt;&gt;"",'Your debts'!$F$13&lt;'Your debts'!$F$8),AQ55,0)+IF(AND('Your debts'!$F$14&lt;&gt;"",'Your debts'!$F$8&lt;&gt;"",'Your debts'!$F$14&lt;'Your debts'!$F$8),AV55,0)+IF(AND('Your debts'!$F$15&lt;&gt;"",'Your debts'!$F$8&lt;&gt;"",'Your debts'!$F$15&lt;'Your debts'!$F$8),BA55,0)))))</f>
        <v/>
      </c>
      <c r="T55" s="33">
        <f>R55-S55</f>
        <v/>
      </c>
      <c r="U55" s="33">
        <f>IF(Y54&lt;=0,0,ROUND(Y54*(1+'Your debts'!$D$9/1200),2))</f>
        <v/>
      </c>
      <c r="V55" s="33">
        <f>IF(U55&lt;=0,0,MIN('Your debts'!$E$9,U55))</f>
        <v/>
      </c>
      <c r="W55" s="33">
        <f>U55-V55</f>
        <v/>
      </c>
      <c r="X55" s="33">
        <f>IF('Your debts'!$F$9="",0,MIN(W55,MAX(0,MAX(0,'Your debts'!$C$19-(G55+L55+Q55+V55+AA55+AF55+AK55+AP55+AU55+AZ55))-(IF(AND('Your debts'!$F$6&lt;&gt;"",'Your debts'!$F$9&lt;&gt;"",'Your debts'!$F$6&lt;'Your debts'!$F$9),H55,0)+IF(AND('Your debts'!$F$7&lt;&gt;"",'Your debts'!$F$9&lt;&gt;"",'Your debts'!$F$7&lt;'Your debts'!$F$9),M55,0)+IF(AND('Your debts'!$F$8&lt;&gt;"",'Your debts'!$F$9&lt;&gt;"",'Your debts'!$F$8&lt;'Your debts'!$F$9),R55,0)+IF(AND('Your debts'!$F$10&lt;&gt;"",'Your debts'!$F$9&lt;&gt;"",'Your debts'!$F$10&lt;'Your debts'!$F$9),AB55,0)+IF(AND('Your debts'!$F$11&lt;&gt;"",'Your debts'!$F$9&lt;&gt;"",'Your debts'!$F$11&lt;'Your debts'!$F$9),AG55,0)+IF(AND('Your debts'!$F$12&lt;&gt;"",'Your debts'!$F$9&lt;&gt;"",'Your debts'!$F$12&lt;'Your debts'!$F$9),AL55,0)+IF(AND('Your debts'!$F$13&lt;&gt;"",'Your debts'!$F$9&lt;&gt;"",'Your debts'!$F$13&lt;'Your debts'!$F$9),AQ55,0)+IF(AND('Your debts'!$F$14&lt;&gt;"",'Your debts'!$F$9&lt;&gt;"",'Your debts'!$F$14&lt;'Your debts'!$F$9),AV55,0)+IF(AND('Your debts'!$F$15&lt;&gt;"",'Your debts'!$F$9&lt;&gt;"",'Your debts'!$F$15&lt;'Your debts'!$F$9),BA55,0)))))</f>
        <v/>
      </c>
      <c r="Y55" s="33">
        <f>W55-X55</f>
        <v/>
      </c>
      <c r="Z55" s="33">
        <f>IF(AD54&lt;=0,0,ROUND(AD54*(1+'Your debts'!$D$10/1200),2))</f>
        <v/>
      </c>
      <c r="AA55" s="33">
        <f>IF(Z55&lt;=0,0,MIN('Your debts'!$E$10,Z55))</f>
        <v/>
      </c>
      <c r="AB55" s="33">
        <f>Z55-AA55</f>
        <v/>
      </c>
      <c r="AC55" s="33">
        <f>IF('Your debts'!$F$10="",0,MIN(AB55,MAX(0,MAX(0,'Your debts'!$C$19-(G55+L55+Q55+V55+AA55+AF55+AK55+AP55+AU55+AZ55))-(IF(AND('Your debts'!$F$6&lt;&gt;"",'Your debts'!$F$10&lt;&gt;"",'Your debts'!$F$6&lt;'Your debts'!$F$10),H55,0)+IF(AND('Your debts'!$F$7&lt;&gt;"",'Your debts'!$F$10&lt;&gt;"",'Your debts'!$F$7&lt;'Your debts'!$F$10),M55,0)+IF(AND('Your debts'!$F$8&lt;&gt;"",'Your debts'!$F$10&lt;&gt;"",'Your debts'!$F$8&lt;'Your debts'!$F$10),R55,0)+IF(AND('Your debts'!$F$9&lt;&gt;"",'Your debts'!$F$10&lt;&gt;"",'Your debts'!$F$9&lt;'Your debts'!$F$10),W55,0)+IF(AND('Your debts'!$F$11&lt;&gt;"",'Your debts'!$F$10&lt;&gt;"",'Your debts'!$F$11&lt;'Your debts'!$F$10),AG55,0)+IF(AND('Your debts'!$F$12&lt;&gt;"",'Your debts'!$F$10&lt;&gt;"",'Your debts'!$F$12&lt;'Your debts'!$F$10),AL55,0)+IF(AND('Your debts'!$F$13&lt;&gt;"",'Your debts'!$F$10&lt;&gt;"",'Your debts'!$F$13&lt;'Your debts'!$F$10),AQ55,0)+IF(AND('Your debts'!$F$14&lt;&gt;"",'Your debts'!$F$10&lt;&gt;"",'Your debts'!$F$14&lt;'Your debts'!$F$10),AV55,0)+IF(AND('Your debts'!$F$15&lt;&gt;"",'Your debts'!$F$10&lt;&gt;"",'Your debts'!$F$15&lt;'Your debts'!$F$10),BA55,0)))))</f>
        <v/>
      </c>
      <c r="AD55" s="33">
        <f>AB55-AC55</f>
        <v/>
      </c>
      <c r="AE55" s="33">
        <f>IF(AI54&lt;=0,0,ROUND(AI54*(1+'Your debts'!$D$11/1200),2))</f>
        <v/>
      </c>
      <c r="AF55" s="33">
        <f>IF(AE55&lt;=0,0,MIN('Your debts'!$E$11,AE55))</f>
        <v/>
      </c>
      <c r="AG55" s="33">
        <f>AE55-AF55</f>
        <v/>
      </c>
      <c r="AH55" s="33">
        <f>IF('Your debts'!$F$11="",0,MIN(AG55,MAX(0,MAX(0,'Your debts'!$C$19-(G55+L55+Q55+V55+AA55+AF55+AK55+AP55+AU55+AZ55))-(IF(AND('Your debts'!$F$6&lt;&gt;"",'Your debts'!$F$11&lt;&gt;"",'Your debts'!$F$6&lt;'Your debts'!$F$11),H55,0)+IF(AND('Your debts'!$F$7&lt;&gt;"",'Your debts'!$F$11&lt;&gt;"",'Your debts'!$F$7&lt;'Your debts'!$F$11),M55,0)+IF(AND('Your debts'!$F$8&lt;&gt;"",'Your debts'!$F$11&lt;&gt;"",'Your debts'!$F$8&lt;'Your debts'!$F$11),R55,0)+IF(AND('Your debts'!$F$9&lt;&gt;"",'Your debts'!$F$11&lt;&gt;"",'Your debts'!$F$9&lt;'Your debts'!$F$11),W55,0)+IF(AND('Your debts'!$F$10&lt;&gt;"",'Your debts'!$F$11&lt;&gt;"",'Your debts'!$F$10&lt;'Your debts'!$F$11),AB55,0)+IF(AND('Your debts'!$F$12&lt;&gt;"",'Your debts'!$F$11&lt;&gt;"",'Your debts'!$F$12&lt;'Your debts'!$F$11),AL55,0)+IF(AND('Your debts'!$F$13&lt;&gt;"",'Your debts'!$F$11&lt;&gt;"",'Your debts'!$F$13&lt;'Your debts'!$F$11),AQ55,0)+IF(AND('Your debts'!$F$14&lt;&gt;"",'Your debts'!$F$11&lt;&gt;"",'Your debts'!$F$14&lt;'Your debts'!$F$11),AV55,0)+IF(AND('Your debts'!$F$15&lt;&gt;"",'Your debts'!$F$11&lt;&gt;"",'Your debts'!$F$15&lt;'Your debts'!$F$11),BA55,0)))))</f>
        <v/>
      </c>
      <c r="AI55" s="33">
        <f>AG55-AH55</f>
        <v/>
      </c>
      <c r="AJ55" s="33">
        <f>IF(AN54&lt;=0,0,ROUND(AN54*(1+'Your debts'!$D$12/1200),2))</f>
        <v/>
      </c>
      <c r="AK55" s="33">
        <f>IF(AJ55&lt;=0,0,MIN('Your debts'!$E$12,AJ55))</f>
        <v/>
      </c>
      <c r="AL55" s="33">
        <f>AJ55-AK55</f>
        <v/>
      </c>
      <c r="AM55" s="33">
        <f>IF('Your debts'!$F$12="",0,MIN(AL55,MAX(0,MAX(0,'Your debts'!$C$19-(G55+L55+Q55+V55+AA55+AF55+AK55+AP55+AU55+AZ55))-(IF(AND('Your debts'!$F$6&lt;&gt;"",'Your debts'!$F$12&lt;&gt;"",'Your debts'!$F$6&lt;'Your debts'!$F$12),H55,0)+IF(AND('Your debts'!$F$7&lt;&gt;"",'Your debts'!$F$12&lt;&gt;"",'Your debts'!$F$7&lt;'Your debts'!$F$12),M55,0)+IF(AND('Your debts'!$F$8&lt;&gt;"",'Your debts'!$F$12&lt;&gt;"",'Your debts'!$F$8&lt;'Your debts'!$F$12),R55,0)+IF(AND('Your debts'!$F$9&lt;&gt;"",'Your debts'!$F$12&lt;&gt;"",'Your debts'!$F$9&lt;'Your debts'!$F$12),W55,0)+IF(AND('Your debts'!$F$10&lt;&gt;"",'Your debts'!$F$12&lt;&gt;"",'Your debts'!$F$10&lt;'Your debts'!$F$12),AB55,0)+IF(AND('Your debts'!$F$11&lt;&gt;"",'Your debts'!$F$12&lt;&gt;"",'Your debts'!$F$11&lt;'Your debts'!$F$12),AG55,0)+IF(AND('Your debts'!$F$13&lt;&gt;"",'Your debts'!$F$12&lt;&gt;"",'Your debts'!$F$13&lt;'Your debts'!$F$12),AQ55,0)+IF(AND('Your debts'!$F$14&lt;&gt;"",'Your debts'!$F$12&lt;&gt;"",'Your debts'!$F$14&lt;'Your debts'!$F$12),AV55,0)+IF(AND('Your debts'!$F$15&lt;&gt;"",'Your debts'!$F$12&lt;&gt;"",'Your debts'!$F$15&lt;'Your debts'!$F$12),BA55,0)))))</f>
        <v/>
      </c>
      <c r="AN55" s="33">
        <f>AL55-AM55</f>
        <v/>
      </c>
      <c r="AO55" s="33">
        <f>IF(AS54&lt;=0,0,ROUND(AS54*(1+'Your debts'!$D$13/1200),2))</f>
        <v/>
      </c>
      <c r="AP55" s="33">
        <f>IF(AO55&lt;=0,0,MIN('Your debts'!$E$13,AO55))</f>
        <v/>
      </c>
      <c r="AQ55" s="33">
        <f>AO55-AP55</f>
        <v/>
      </c>
      <c r="AR55" s="33">
        <f>IF('Your debts'!$F$13="",0,MIN(AQ55,MAX(0,MAX(0,'Your debts'!$C$19-(G55+L55+Q55+V55+AA55+AF55+AK55+AP55+AU55+AZ55))-(IF(AND('Your debts'!$F$6&lt;&gt;"",'Your debts'!$F$13&lt;&gt;"",'Your debts'!$F$6&lt;'Your debts'!$F$13),H55,0)+IF(AND('Your debts'!$F$7&lt;&gt;"",'Your debts'!$F$13&lt;&gt;"",'Your debts'!$F$7&lt;'Your debts'!$F$13),M55,0)+IF(AND('Your debts'!$F$8&lt;&gt;"",'Your debts'!$F$13&lt;&gt;"",'Your debts'!$F$8&lt;'Your debts'!$F$13),R55,0)+IF(AND('Your debts'!$F$9&lt;&gt;"",'Your debts'!$F$13&lt;&gt;"",'Your debts'!$F$9&lt;'Your debts'!$F$13),W55,0)+IF(AND('Your debts'!$F$10&lt;&gt;"",'Your debts'!$F$13&lt;&gt;"",'Your debts'!$F$10&lt;'Your debts'!$F$13),AB55,0)+IF(AND('Your debts'!$F$11&lt;&gt;"",'Your debts'!$F$13&lt;&gt;"",'Your debts'!$F$11&lt;'Your debts'!$F$13),AG55,0)+IF(AND('Your debts'!$F$12&lt;&gt;"",'Your debts'!$F$13&lt;&gt;"",'Your debts'!$F$12&lt;'Your debts'!$F$13),AL55,0)+IF(AND('Your debts'!$F$14&lt;&gt;"",'Your debts'!$F$13&lt;&gt;"",'Your debts'!$F$14&lt;'Your debts'!$F$13),AV55,0)+IF(AND('Your debts'!$F$15&lt;&gt;"",'Your debts'!$F$13&lt;&gt;"",'Your debts'!$F$15&lt;'Your debts'!$F$13),BA55,0)))))</f>
        <v/>
      </c>
      <c r="AS55" s="33">
        <f>AQ55-AR55</f>
        <v/>
      </c>
      <c r="AT55" s="33">
        <f>IF(AX54&lt;=0,0,ROUND(AX54*(1+'Your debts'!$D$14/1200),2))</f>
        <v/>
      </c>
      <c r="AU55" s="33">
        <f>IF(AT55&lt;=0,0,MIN('Your debts'!$E$14,AT55))</f>
        <v/>
      </c>
      <c r="AV55" s="33">
        <f>AT55-AU55</f>
        <v/>
      </c>
      <c r="AW55" s="33">
        <f>IF('Your debts'!$F$14="",0,MIN(AV55,MAX(0,MAX(0,'Your debts'!$C$19-(G55+L55+Q55+V55+AA55+AF55+AK55+AP55+AU55+AZ55))-(IF(AND('Your debts'!$F$6&lt;&gt;"",'Your debts'!$F$14&lt;&gt;"",'Your debts'!$F$6&lt;'Your debts'!$F$14),H55,0)+IF(AND('Your debts'!$F$7&lt;&gt;"",'Your debts'!$F$14&lt;&gt;"",'Your debts'!$F$7&lt;'Your debts'!$F$14),M55,0)+IF(AND('Your debts'!$F$8&lt;&gt;"",'Your debts'!$F$14&lt;&gt;"",'Your debts'!$F$8&lt;'Your debts'!$F$14),R55,0)+IF(AND('Your debts'!$F$9&lt;&gt;"",'Your debts'!$F$14&lt;&gt;"",'Your debts'!$F$9&lt;'Your debts'!$F$14),W55,0)+IF(AND('Your debts'!$F$10&lt;&gt;"",'Your debts'!$F$14&lt;&gt;"",'Your debts'!$F$10&lt;'Your debts'!$F$14),AB55,0)+IF(AND('Your debts'!$F$11&lt;&gt;"",'Your debts'!$F$14&lt;&gt;"",'Your debts'!$F$11&lt;'Your debts'!$F$14),AG55,0)+IF(AND('Your debts'!$F$12&lt;&gt;"",'Your debts'!$F$14&lt;&gt;"",'Your debts'!$F$12&lt;'Your debts'!$F$14),AL55,0)+IF(AND('Your debts'!$F$13&lt;&gt;"",'Your debts'!$F$14&lt;&gt;"",'Your debts'!$F$13&lt;'Your debts'!$F$14),AQ55,0)+IF(AND('Your debts'!$F$15&lt;&gt;"",'Your debts'!$F$14&lt;&gt;"",'Your debts'!$F$15&lt;'Your debts'!$F$14),BA55,0)))))</f>
        <v/>
      </c>
      <c r="AX55" s="33">
        <f>AV55-AW55</f>
        <v/>
      </c>
      <c r="AY55" s="33">
        <f>IF(BC54&lt;=0,0,ROUND(BC54*(1+'Your debts'!$D$15/1200),2))</f>
        <v/>
      </c>
      <c r="AZ55" s="33">
        <f>IF(AY55&lt;=0,0,MIN('Your debts'!$E$15,AY55))</f>
        <v/>
      </c>
      <c r="BA55" s="33">
        <f>AY55-AZ55</f>
        <v/>
      </c>
      <c r="BB55" s="33">
        <f>IF('Your debts'!$F$15="",0,MIN(BA55,MAX(0,MAX(0,'Your debts'!$C$19-(G55+L55+Q55+V55+AA55+AF55+AK55+AP55+AU55+AZ55))-(IF(AND('Your debts'!$F$6&lt;&gt;"",'Your debts'!$F$15&lt;&gt;"",'Your debts'!$F$6&lt;'Your debts'!$F$15),H55,0)+IF(AND('Your debts'!$F$7&lt;&gt;"",'Your debts'!$F$15&lt;&gt;"",'Your debts'!$F$7&lt;'Your debts'!$F$15),M55,0)+IF(AND('Your debts'!$F$8&lt;&gt;"",'Your debts'!$F$15&lt;&gt;"",'Your debts'!$F$8&lt;'Your debts'!$F$15),R55,0)+IF(AND('Your debts'!$F$9&lt;&gt;"",'Your debts'!$F$15&lt;&gt;"",'Your debts'!$F$9&lt;'Your debts'!$F$15),W55,0)+IF(AND('Your debts'!$F$10&lt;&gt;"",'Your debts'!$F$15&lt;&gt;"",'Your debts'!$F$10&lt;'Your debts'!$F$15),AB55,0)+IF(AND('Your debts'!$F$11&lt;&gt;"",'Your debts'!$F$15&lt;&gt;"",'Your debts'!$F$11&lt;'Your debts'!$F$15),AG55,0)+IF(AND('Your debts'!$F$12&lt;&gt;"",'Your debts'!$F$15&lt;&gt;"",'Your debts'!$F$12&lt;'Your debts'!$F$15),AL55,0)+IF(AND('Your debts'!$F$13&lt;&gt;"",'Your debts'!$F$15&lt;&gt;"",'Your debts'!$F$13&lt;'Your debts'!$F$15),AQ55,0)+IF(AND('Your debts'!$F$14&lt;&gt;"",'Your debts'!$F$15&lt;&gt;"",'Your debts'!$F$14&lt;'Your debts'!$F$15),AV55,0)))))</f>
        <v/>
      </c>
      <c r="BC55" s="33">
        <f>BA55-BB55</f>
        <v/>
      </c>
    </row>
    <row r="56">
      <c r="A56" s="30" t="n">
        <v>41</v>
      </c>
      <c r="B56" s="31">
        <f>EDATE($B$15,41)</f>
        <v/>
      </c>
      <c r="C56" s="32">
        <f>IF(J55&lt;=0,0,F56-J55)+IF(O55&lt;=0,0,K56-O55)+IF(T55&lt;=0,0,P56-T55)+IF(Y55&lt;=0,0,U56-Y55)+IF(AD55&lt;=0,0,Z56-AD55)+IF(AI55&lt;=0,0,AE56-AI55)+IF(AN55&lt;=0,0,AJ56-AN55)+IF(AS55&lt;=0,0,AO56-AS55)+IF(AX55&lt;=0,0,AT56-AX55)+IF(BC55&lt;=0,0,AY56-BC55)</f>
        <v/>
      </c>
      <c r="D56" s="32">
        <f>G56+I56+L56+N56+Q56+S56+V56+X56+AA56+AC56+AF56+AH56+AK56+AM56+AP56+AR56+AU56+AW56+AZ56+BB56</f>
        <v/>
      </c>
      <c r="E56" s="32">
        <f>J56+O56+T56+Y56+AD56+AI56+AN56+AS56+AX56+BC56</f>
        <v/>
      </c>
      <c r="F56" s="33">
        <f>IF(J55&lt;=0,0,ROUND(J55*(1+'Your debts'!$D$6/1200),2))</f>
        <v/>
      </c>
      <c r="G56" s="33">
        <f>IF(F56&lt;=0,0,MIN('Your debts'!$E$6,F56))</f>
        <v/>
      </c>
      <c r="H56" s="33">
        <f>F56-G56</f>
        <v/>
      </c>
      <c r="I56" s="33">
        <f>IF('Your debts'!$F$6="",0,MIN(H56,MAX(0,MAX(0,'Your debts'!$C$19-(G56+L56+Q56+V56+AA56+AF56+AK56+AP56+AU56+AZ56))-(IF(AND('Your debts'!$F$7&lt;&gt;"",'Your debts'!$F$6&lt;&gt;"",'Your debts'!$F$7&lt;'Your debts'!$F$6),M56,0)+IF(AND('Your debts'!$F$8&lt;&gt;"",'Your debts'!$F$6&lt;&gt;"",'Your debts'!$F$8&lt;'Your debts'!$F$6),R56,0)+IF(AND('Your debts'!$F$9&lt;&gt;"",'Your debts'!$F$6&lt;&gt;"",'Your debts'!$F$9&lt;'Your debts'!$F$6),W56,0)+IF(AND('Your debts'!$F$10&lt;&gt;"",'Your debts'!$F$6&lt;&gt;"",'Your debts'!$F$10&lt;'Your debts'!$F$6),AB56,0)+IF(AND('Your debts'!$F$11&lt;&gt;"",'Your debts'!$F$6&lt;&gt;"",'Your debts'!$F$11&lt;'Your debts'!$F$6),AG56,0)+IF(AND('Your debts'!$F$12&lt;&gt;"",'Your debts'!$F$6&lt;&gt;"",'Your debts'!$F$12&lt;'Your debts'!$F$6),AL56,0)+IF(AND('Your debts'!$F$13&lt;&gt;"",'Your debts'!$F$6&lt;&gt;"",'Your debts'!$F$13&lt;'Your debts'!$F$6),AQ56,0)+IF(AND('Your debts'!$F$14&lt;&gt;"",'Your debts'!$F$6&lt;&gt;"",'Your debts'!$F$14&lt;'Your debts'!$F$6),AV56,0)+IF(AND('Your debts'!$F$15&lt;&gt;"",'Your debts'!$F$6&lt;&gt;"",'Your debts'!$F$15&lt;'Your debts'!$F$6),BA56,0)))))</f>
        <v/>
      </c>
      <c r="J56" s="33">
        <f>H56-I56</f>
        <v/>
      </c>
      <c r="K56" s="33">
        <f>IF(O55&lt;=0,0,ROUND(O55*(1+'Your debts'!$D$7/1200),2))</f>
        <v/>
      </c>
      <c r="L56" s="33">
        <f>IF(K56&lt;=0,0,MIN('Your debts'!$E$7,K56))</f>
        <v/>
      </c>
      <c r="M56" s="33">
        <f>K56-L56</f>
        <v/>
      </c>
      <c r="N56" s="33">
        <f>IF('Your debts'!$F$7="",0,MIN(M56,MAX(0,MAX(0,'Your debts'!$C$19-(G56+L56+Q56+V56+AA56+AF56+AK56+AP56+AU56+AZ56))-(IF(AND('Your debts'!$F$6&lt;&gt;"",'Your debts'!$F$7&lt;&gt;"",'Your debts'!$F$6&lt;'Your debts'!$F$7),H56,0)+IF(AND('Your debts'!$F$8&lt;&gt;"",'Your debts'!$F$7&lt;&gt;"",'Your debts'!$F$8&lt;'Your debts'!$F$7),R56,0)+IF(AND('Your debts'!$F$9&lt;&gt;"",'Your debts'!$F$7&lt;&gt;"",'Your debts'!$F$9&lt;'Your debts'!$F$7),W56,0)+IF(AND('Your debts'!$F$10&lt;&gt;"",'Your debts'!$F$7&lt;&gt;"",'Your debts'!$F$10&lt;'Your debts'!$F$7),AB56,0)+IF(AND('Your debts'!$F$11&lt;&gt;"",'Your debts'!$F$7&lt;&gt;"",'Your debts'!$F$11&lt;'Your debts'!$F$7),AG56,0)+IF(AND('Your debts'!$F$12&lt;&gt;"",'Your debts'!$F$7&lt;&gt;"",'Your debts'!$F$12&lt;'Your debts'!$F$7),AL56,0)+IF(AND('Your debts'!$F$13&lt;&gt;"",'Your debts'!$F$7&lt;&gt;"",'Your debts'!$F$13&lt;'Your debts'!$F$7),AQ56,0)+IF(AND('Your debts'!$F$14&lt;&gt;"",'Your debts'!$F$7&lt;&gt;"",'Your debts'!$F$14&lt;'Your debts'!$F$7),AV56,0)+IF(AND('Your debts'!$F$15&lt;&gt;"",'Your debts'!$F$7&lt;&gt;"",'Your debts'!$F$15&lt;'Your debts'!$F$7),BA56,0)))))</f>
        <v/>
      </c>
      <c r="O56" s="33">
        <f>M56-N56</f>
        <v/>
      </c>
      <c r="P56" s="33">
        <f>IF(T55&lt;=0,0,ROUND(T55*(1+'Your debts'!$D$8/1200),2))</f>
        <v/>
      </c>
      <c r="Q56" s="33">
        <f>IF(P56&lt;=0,0,MIN('Your debts'!$E$8,P56))</f>
        <v/>
      </c>
      <c r="R56" s="33">
        <f>P56-Q56</f>
        <v/>
      </c>
      <c r="S56" s="33">
        <f>IF('Your debts'!$F$8="",0,MIN(R56,MAX(0,MAX(0,'Your debts'!$C$19-(G56+L56+Q56+V56+AA56+AF56+AK56+AP56+AU56+AZ56))-(IF(AND('Your debts'!$F$6&lt;&gt;"",'Your debts'!$F$8&lt;&gt;"",'Your debts'!$F$6&lt;'Your debts'!$F$8),H56,0)+IF(AND('Your debts'!$F$7&lt;&gt;"",'Your debts'!$F$8&lt;&gt;"",'Your debts'!$F$7&lt;'Your debts'!$F$8),M56,0)+IF(AND('Your debts'!$F$9&lt;&gt;"",'Your debts'!$F$8&lt;&gt;"",'Your debts'!$F$9&lt;'Your debts'!$F$8),W56,0)+IF(AND('Your debts'!$F$10&lt;&gt;"",'Your debts'!$F$8&lt;&gt;"",'Your debts'!$F$10&lt;'Your debts'!$F$8),AB56,0)+IF(AND('Your debts'!$F$11&lt;&gt;"",'Your debts'!$F$8&lt;&gt;"",'Your debts'!$F$11&lt;'Your debts'!$F$8),AG56,0)+IF(AND('Your debts'!$F$12&lt;&gt;"",'Your debts'!$F$8&lt;&gt;"",'Your debts'!$F$12&lt;'Your debts'!$F$8),AL56,0)+IF(AND('Your debts'!$F$13&lt;&gt;"",'Your debts'!$F$8&lt;&gt;"",'Your debts'!$F$13&lt;'Your debts'!$F$8),AQ56,0)+IF(AND('Your debts'!$F$14&lt;&gt;"",'Your debts'!$F$8&lt;&gt;"",'Your debts'!$F$14&lt;'Your debts'!$F$8),AV56,0)+IF(AND('Your debts'!$F$15&lt;&gt;"",'Your debts'!$F$8&lt;&gt;"",'Your debts'!$F$15&lt;'Your debts'!$F$8),BA56,0)))))</f>
        <v/>
      </c>
      <c r="T56" s="33">
        <f>R56-S56</f>
        <v/>
      </c>
      <c r="U56" s="33">
        <f>IF(Y55&lt;=0,0,ROUND(Y55*(1+'Your debts'!$D$9/1200),2))</f>
        <v/>
      </c>
      <c r="V56" s="33">
        <f>IF(U56&lt;=0,0,MIN('Your debts'!$E$9,U56))</f>
        <v/>
      </c>
      <c r="W56" s="33">
        <f>U56-V56</f>
        <v/>
      </c>
      <c r="X56" s="33">
        <f>IF('Your debts'!$F$9="",0,MIN(W56,MAX(0,MAX(0,'Your debts'!$C$19-(G56+L56+Q56+V56+AA56+AF56+AK56+AP56+AU56+AZ56))-(IF(AND('Your debts'!$F$6&lt;&gt;"",'Your debts'!$F$9&lt;&gt;"",'Your debts'!$F$6&lt;'Your debts'!$F$9),H56,0)+IF(AND('Your debts'!$F$7&lt;&gt;"",'Your debts'!$F$9&lt;&gt;"",'Your debts'!$F$7&lt;'Your debts'!$F$9),M56,0)+IF(AND('Your debts'!$F$8&lt;&gt;"",'Your debts'!$F$9&lt;&gt;"",'Your debts'!$F$8&lt;'Your debts'!$F$9),R56,0)+IF(AND('Your debts'!$F$10&lt;&gt;"",'Your debts'!$F$9&lt;&gt;"",'Your debts'!$F$10&lt;'Your debts'!$F$9),AB56,0)+IF(AND('Your debts'!$F$11&lt;&gt;"",'Your debts'!$F$9&lt;&gt;"",'Your debts'!$F$11&lt;'Your debts'!$F$9),AG56,0)+IF(AND('Your debts'!$F$12&lt;&gt;"",'Your debts'!$F$9&lt;&gt;"",'Your debts'!$F$12&lt;'Your debts'!$F$9),AL56,0)+IF(AND('Your debts'!$F$13&lt;&gt;"",'Your debts'!$F$9&lt;&gt;"",'Your debts'!$F$13&lt;'Your debts'!$F$9),AQ56,0)+IF(AND('Your debts'!$F$14&lt;&gt;"",'Your debts'!$F$9&lt;&gt;"",'Your debts'!$F$14&lt;'Your debts'!$F$9),AV56,0)+IF(AND('Your debts'!$F$15&lt;&gt;"",'Your debts'!$F$9&lt;&gt;"",'Your debts'!$F$15&lt;'Your debts'!$F$9),BA56,0)))))</f>
        <v/>
      </c>
      <c r="Y56" s="33">
        <f>W56-X56</f>
        <v/>
      </c>
      <c r="Z56" s="33">
        <f>IF(AD55&lt;=0,0,ROUND(AD55*(1+'Your debts'!$D$10/1200),2))</f>
        <v/>
      </c>
      <c r="AA56" s="33">
        <f>IF(Z56&lt;=0,0,MIN('Your debts'!$E$10,Z56))</f>
        <v/>
      </c>
      <c r="AB56" s="33">
        <f>Z56-AA56</f>
        <v/>
      </c>
      <c r="AC56" s="33">
        <f>IF('Your debts'!$F$10="",0,MIN(AB56,MAX(0,MAX(0,'Your debts'!$C$19-(G56+L56+Q56+V56+AA56+AF56+AK56+AP56+AU56+AZ56))-(IF(AND('Your debts'!$F$6&lt;&gt;"",'Your debts'!$F$10&lt;&gt;"",'Your debts'!$F$6&lt;'Your debts'!$F$10),H56,0)+IF(AND('Your debts'!$F$7&lt;&gt;"",'Your debts'!$F$10&lt;&gt;"",'Your debts'!$F$7&lt;'Your debts'!$F$10),M56,0)+IF(AND('Your debts'!$F$8&lt;&gt;"",'Your debts'!$F$10&lt;&gt;"",'Your debts'!$F$8&lt;'Your debts'!$F$10),R56,0)+IF(AND('Your debts'!$F$9&lt;&gt;"",'Your debts'!$F$10&lt;&gt;"",'Your debts'!$F$9&lt;'Your debts'!$F$10),W56,0)+IF(AND('Your debts'!$F$11&lt;&gt;"",'Your debts'!$F$10&lt;&gt;"",'Your debts'!$F$11&lt;'Your debts'!$F$10),AG56,0)+IF(AND('Your debts'!$F$12&lt;&gt;"",'Your debts'!$F$10&lt;&gt;"",'Your debts'!$F$12&lt;'Your debts'!$F$10),AL56,0)+IF(AND('Your debts'!$F$13&lt;&gt;"",'Your debts'!$F$10&lt;&gt;"",'Your debts'!$F$13&lt;'Your debts'!$F$10),AQ56,0)+IF(AND('Your debts'!$F$14&lt;&gt;"",'Your debts'!$F$10&lt;&gt;"",'Your debts'!$F$14&lt;'Your debts'!$F$10),AV56,0)+IF(AND('Your debts'!$F$15&lt;&gt;"",'Your debts'!$F$10&lt;&gt;"",'Your debts'!$F$15&lt;'Your debts'!$F$10),BA56,0)))))</f>
        <v/>
      </c>
      <c r="AD56" s="33">
        <f>AB56-AC56</f>
        <v/>
      </c>
      <c r="AE56" s="33">
        <f>IF(AI55&lt;=0,0,ROUND(AI55*(1+'Your debts'!$D$11/1200),2))</f>
        <v/>
      </c>
      <c r="AF56" s="33">
        <f>IF(AE56&lt;=0,0,MIN('Your debts'!$E$11,AE56))</f>
        <v/>
      </c>
      <c r="AG56" s="33">
        <f>AE56-AF56</f>
        <v/>
      </c>
      <c r="AH56" s="33">
        <f>IF('Your debts'!$F$11="",0,MIN(AG56,MAX(0,MAX(0,'Your debts'!$C$19-(G56+L56+Q56+V56+AA56+AF56+AK56+AP56+AU56+AZ56))-(IF(AND('Your debts'!$F$6&lt;&gt;"",'Your debts'!$F$11&lt;&gt;"",'Your debts'!$F$6&lt;'Your debts'!$F$11),H56,0)+IF(AND('Your debts'!$F$7&lt;&gt;"",'Your debts'!$F$11&lt;&gt;"",'Your debts'!$F$7&lt;'Your debts'!$F$11),M56,0)+IF(AND('Your debts'!$F$8&lt;&gt;"",'Your debts'!$F$11&lt;&gt;"",'Your debts'!$F$8&lt;'Your debts'!$F$11),R56,0)+IF(AND('Your debts'!$F$9&lt;&gt;"",'Your debts'!$F$11&lt;&gt;"",'Your debts'!$F$9&lt;'Your debts'!$F$11),W56,0)+IF(AND('Your debts'!$F$10&lt;&gt;"",'Your debts'!$F$11&lt;&gt;"",'Your debts'!$F$10&lt;'Your debts'!$F$11),AB56,0)+IF(AND('Your debts'!$F$12&lt;&gt;"",'Your debts'!$F$11&lt;&gt;"",'Your debts'!$F$12&lt;'Your debts'!$F$11),AL56,0)+IF(AND('Your debts'!$F$13&lt;&gt;"",'Your debts'!$F$11&lt;&gt;"",'Your debts'!$F$13&lt;'Your debts'!$F$11),AQ56,0)+IF(AND('Your debts'!$F$14&lt;&gt;"",'Your debts'!$F$11&lt;&gt;"",'Your debts'!$F$14&lt;'Your debts'!$F$11),AV56,0)+IF(AND('Your debts'!$F$15&lt;&gt;"",'Your debts'!$F$11&lt;&gt;"",'Your debts'!$F$15&lt;'Your debts'!$F$11),BA56,0)))))</f>
        <v/>
      </c>
      <c r="AI56" s="33">
        <f>AG56-AH56</f>
        <v/>
      </c>
      <c r="AJ56" s="33">
        <f>IF(AN55&lt;=0,0,ROUND(AN55*(1+'Your debts'!$D$12/1200),2))</f>
        <v/>
      </c>
      <c r="AK56" s="33">
        <f>IF(AJ56&lt;=0,0,MIN('Your debts'!$E$12,AJ56))</f>
        <v/>
      </c>
      <c r="AL56" s="33">
        <f>AJ56-AK56</f>
        <v/>
      </c>
      <c r="AM56" s="33">
        <f>IF('Your debts'!$F$12="",0,MIN(AL56,MAX(0,MAX(0,'Your debts'!$C$19-(G56+L56+Q56+V56+AA56+AF56+AK56+AP56+AU56+AZ56))-(IF(AND('Your debts'!$F$6&lt;&gt;"",'Your debts'!$F$12&lt;&gt;"",'Your debts'!$F$6&lt;'Your debts'!$F$12),H56,0)+IF(AND('Your debts'!$F$7&lt;&gt;"",'Your debts'!$F$12&lt;&gt;"",'Your debts'!$F$7&lt;'Your debts'!$F$12),M56,0)+IF(AND('Your debts'!$F$8&lt;&gt;"",'Your debts'!$F$12&lt;&gt;"",'Your debts'!$F$8&lt;'Your debts'!$F$12),R56,0)+IF(AND('Your debts'!$F$9&lt;&gt;"",'Your debts'!$F$12&lt;&gt;"",'Your debts'!$F$9&lt;'Your debts'!$F$12),W56,0)+IF(AND('Your debts'!$F$10&lt;&gt;"",'Your debts'!$F$12&lt;&gt;"",'Your debts'!$F$10&lt;'Your debts'!$F$12),AB56,0)+IF(AND('Your debts'!$F$11&lt;&gt;"",'Your debts'!$F$12&lt;&gt;"",'Your debts'!$F$11&lt;'Your debts'!$F$12),AG56,0)+IF(AND('Your debts'!$F$13&lt;&gt;"",'Your debts'!$F$12&lt;&gt;"",'Your debts'!$F$13&lt;'Your debts'!$F$12),AQ56,0)+IF(AND('Your debts'!$F$14&lt;&gt;"",'Your debts'!$F$12&lt;&gt;"",'Your debts'!$F$14&lt;'Your debts'!$F$12),AV56,0)+IF(AND('Your debts'!$F$15&lt;&gt;"",'Your debts'!$F$12&lt;&gt;"",'Your debts'!$F$15&lt;'Your debts'!$F$12),BA56,0)))))</f>
        <v/>
      </c>
      <c r="AN56" s="33">
        <f>AL56-AM56</f>
        <v/>
      </c>
      <c r="AO56" s="33">
        <f>IF(AS55&lt;=0,0,ROUND(AS55*(1+'Your debts'!$D$13/1200),2))</f>
        <v/>
      </c>
      <c r="AP56" s="33">
        <f>IF(AO56&lt;=0,0,MIN('Your debts'!$E$13,AO56))</f>
        <v/>
      </c>
      <c r="AQ56" s="33">
        <f>AO56-AP56</f>
        <v/>
      </c>
      <c r="AR56" s="33">
        <f>IF('Your debts'!$F$13="",0,MIN(AQ56,MAX(0,MAX(0,'Your debts'!$C$19-(G56+L56+Q56+V56+AA56+AF56+AK56+AP56+AU56+AZ56))-(IF(AND('Your debts'!$F$6&lt;&gt;"",'Your debts'!$F$13&lt;&gt;"",'Your debts'!$F$6&lt;'Your debts'!$F$13),H56,0)+IF(AND('Your debts'!$F$7&lt;&gt;"",'Your debts'!$F$13&lt;&gt;"",'Your debts'!$F$7&lt;'Your debts'!$F$13),M56,0)+IF(AND('Your debts'!$F$8&lt;&gt;"",'Your debts'!$F$13&lt;&gt;"",'Your debts'!$F$8&lt;'Your debts'!$F$13),R56,0)+IF(AND('Your debts'!$F$9&lt;&gt;"",'Your debts'!$F$13&lt;&gt;"",'Your debts'!$F$9&lt;'Your debts'!$F$13),W56,0)+IF(AND('Your debts'!$F$10&lt;&gt;"",'Your debts'!$F$13&lt;&gt;"",'Your debts'!$F$10&lt;'Your debts'!$F$13),AB56,0)+IF(AND('Your debts'!$F$11&lt;&gt;"",'Your debts'!$F$13&lt;&gt;"",'Your debts'!$F$11&lt;'Your debts'!$F$13),AG56,0)+IF(AND('Your debts'!$F$12&lt;&gt;"",'Your debts'!$F$13&lt;&gt;"",'Your debts'!$F$12&lt;'Your debts'!$F$13),AL56,0)+IF(AND('Your debts'!$F$14&lt;&gt;"",'Your debts'!$F$13&lt;&gt;"",'Your debts'!$F$14&lt;'Your debts'!$F$13),AV56,0)+IF(AND('Your debts'!$F$15&lt;&gt;"",'Your debts'!$F$13&lt;&gt;"",'Your debts'!$F$15&lt;'Your debts'!$F$13),BA56,0)))))</f>
        <v/>
      </c>
      <c r="AS56" s="33">
        <f>AQ56-AR56</f>
        <v/>
      </c>
      <c r="AT56" s="33">
        <f>IF(AX55&lt;=0,0,ROUND(AX55*(1+'Your debts'!$D$14/1200),2))</f>
        <v/>
      </c>
      <c r="AU56" s="33">
        <f>IF(AT56&lt;=0,0,MIN('Your debts'!$E$14,AT56))</f>
        <v/>
      </c>
      <c r="AV56" s="33">
        <f>AT56-AU56</f>
        <v/>
      </c>
      <c r="AW56" s="33">
        <f>IF('Your debts'!$F$14="",0,MIN(AV56,MAX(0,MAX(0,'Your debts'!$C$19-(G56+L56+Q56+V56+AA56+AF56+AK56+AP56+AU56+AZ56))-(IF(AND('Your debts'!$F$6&lt;&gt;"",'Your debts'!$F$14&lt;&gt;"",'Your debts'!$F$6&lt;'Your debts'!$F$14),H56,0)+IF(AND('Your debts'!$F$7&lt;&gt;"",'Your debts'!$F$14&lt;&gt;"",'Your debts'!$F$7&lt;'Your debts'!$F$14),M56,0)+IF(AND('Your debts'!$F$8&lt;&gt;"",'Your debts'!$F$14&lt;&gt;"",'Your debts'!$F$8&lt;'Your debts'!$F$14),R56,0)+IF(AND('Your debts'!$F$9&lt;&gt;"",'Your debts'!$F$14&lt;&gt;"",'Your debts'!$F$9&lt;'Your debts'!$F$14),W56,0)+IF(AND('Your debts'!$F$10&lt;&gt;"",'Your debts'!$F$14&lt;&gt;"",'Your debts'!$F$10&lt;'Your debts'!$F$14),AB56,0)+IF(AND('Your debts'!$F$11&lt;&gt;"",'Your debts'!$F$14&lt;&gt;"",'Your debts'!$F$11&lt;'Your debts'!$F$14),AG56,0)+IF(AND('Your debts'!$F$12&lt;&gt;"",'Your debts'!$F$14&lt;&gt;"",'Your debts'!$F$12&lt;'Your debts'!$F$14),AL56,0)+IF(AND('Your debts'!$F$13&lt;&gt;"",'Your debts'!$F$14&lt;&gt;"",'Your debts'!$F$13&lt;'Your debts'!$F$14),AQ56,0)+IF(AND('Your debts'!$F$15&lt;&gt;"",'Your debts'!$F$14&lt;&gt;"",'Your debts'!$F$15&lt;'Your debts'!$F$14),BA56,0)))))</f>
        <v/>
      </c>
      <c r="AX56" s="33">
        <f>AV56-AW56</f>
        <v/>
      </c>
      <c r="AY56" s="33">
        <f>IF(BC55&lt;=0,0,ROUND(BC55*(1+'Your debts'!$D$15/1200),2))</f>
        <v/>
      </c>
      <c r="AZ56" s="33">
        <f>IF(AY56&lt;=0,0,MIN('Your debts'!$E$15,AY56))</f>
        <v/>
      </c>
      <c r="BA56" s="33">
        <f>AY56-AZ56</f>
        <v/>
      </c>
      <c r="BB56" s="33">
        <f>IF('Your debts'!$F$15="",0,MIN(BA56,MAX(0,MAX(0,'Your debts'!$C$19-(G56+L56+Q56+V56+AA56+AF56+AK56+AP56+AU56+AZ56))-(IF(AND('Your debts'!$F$6&lt;&gt;"",'Your debts'!$F$15&lt;&gt;"",'Your debts'!$F$6&lt;'Your debts'!$F$15),H56,0)+IF(AND('Your debts'!$F$7&lt;&gt;"",'Your debts'!$F$15&lt;&gt;"",'Your debts'!$F$7&lt;'Your debts'!$F$15),M56,0)+IF(AND('Your debts'!$F$8&lt;&gt;"",'Your debts'!$F$15&lt;&gt;"",'Your debts'!$F$8&lt;'Your debts'!$F$15),R56,0)+IF(AND('Your debts'!$F$9&lt;&gt;"",'Your debts'!$F$15&lt;&gt;"",'Your debts'!$F$9&lt;'Your debts'!$F$15),W56,0)+IF(AND('Your debts'!$F$10&lt;&gt;"",'Your debts'!$F$15&lt;&gt;"",'Your debts'!$F$10&lt;'Your debts'!$F$15),AB56,0)+IF(AND('Your debts'!$F$11&lt;&gt;"",'Your debts'!$F$15&lt;&gt;"",'Your debts'!$F$11&lt;'Your debts'!$F$15),AG56,0)+IF(AND('Your debts'!$F$12&lt;&gt;"",'Your debts'!$F$15&lt;&gt;"",'Your debts'!$F$12&lt;'Your debts'!$F$15),AL56,0)+IF(AND('Your debts'!$F$13&lt;&gt;"",'Your debts'!$F$15&lt;&gt;"",'Your debts'!$F$13&lt;'Your debts'!$F$15),AQ56,0)+IF(AND('Your debts'!$F$14&lt;&gt;"",'Your debts'!$F$15&lt;&gt;"",'Your debts'!$F$14&lt;'Your debts'!$F$15),AV56,0)))))</f>
        <v/>
      </c>
      <c r="BC56" s="33">
        <f>BA56-BB56</f>
        <v/>
      </c>
    </row>
    <row r="57">
      <c r="A57" s="30" t="n">
        <v>42</v>
      </c>
      <c r="B57" s="31">
        <f>EDATE($B$15,42)</f>
        <v/>
      </c>
      <c r="C57" s="32">
        <f>IF(J56&lt;=0,0,F57-J56)+IF(O56&lt;=0,0,K57-O56)+IF(T56&lt;=0,0,P57-T56)+IF(Y56&lt;=0,0,U57-Y56)+IF(AD56&lt;=0,0,Z57-AD56)+IF(AI56&lt;=0,0,AE57-AI56)+IF(AN56&lt;=0,0,AJ57-AN56)+IF(AS56&lt;=0,0,AO57-AS56)+IF(AX56&lt;=0,0,AT57-AX56)+IF(BC56&lt;=0,0,AY57-BC56)</f>
        <v/>
      </c>
      <c r="D57" s="32">
        <f>G57+I57+L57+N57+Q57+S57+V57+X57+AA57+AC57+AF57+AH57+AK57+AM57+AP57+AR57+AU57+AW57+AZ57+BB57</f>
        <v/>
      </c>
      <c r="E57" s="32">
        <f>J57+O57+T57+Y57+AD57+AI57+AN57+AS57+AX57+BC57</f>
        <v/>
      </c>
      <c r="F57" s="33">
        <f>IF(J56&lt;=0,0,ROUND(J56*(1+'Your debts'!$D$6/1200),2))</f>
        <v/>
      </c>
      <c r="G57" s="33">
        <f>IF(F57&lt;=0,0,MIN('Your debts'!$E$6,F57))</f>
        <v/>
      </c>
      <c r="H57" s="33">
        <f>F57-G57</f>
        <v/>
      </c>
      <c r="I57" s="33">
        <f>IF('Your debts'!$F$6="",0,MIN(H57,MAX(0,MAX(0,'Your debts'!$C$19-(G57+L57+Q57+V57+AA57+AF57+AK57+AP57+AU57+AZ57))-(IF(AND('Your debts'!$F$7&lt;&gt;"",'Your debts'!$F$6&lt;&gt;"",'Your debts'!$F$7&lt;'Your debts'!$F$6),M57,0)+IF(AND('Your debts'!$F$8&lt;&gt;"",'Your debts'!$F$6&lt;&gt;"",'Your debts'!$F$8&lt;'Your debts'!$F$6),R57,0)+IF(AND('Your debts'!$F$9&lt;&gt;"",'Your debts'!$F$6&lt;&gt;"",'Your debts'!$F$9&lt;'Your debts'!$F$6),W57,0)+IF(AND('Your debts'!$F$10&lt;&gt;"",'Your debts'!$F$6&lt;&gt;"",'Your debts'!$F$10&lt;'Your debts'!$F$6),AB57,0)+IF(AND('Your debts'!$F$11&lt;&gt;"",'Your debts'!$F$6&lt;&gt;"",'Your debts'!$F$11&lt;'Your debts'!$F$6),AG57,0)+IF(AND('Your debts'!$F$12&lt;&gt;"",'Your debts'!$F$6&lt;&gt;"",'Your debts'!$F$12&lt;'Your debts'!$F$6),AL57,0)+IF(AND('Your debts'!$F$13&lt;&gt;"",'Your debts'!$F$6&lt;&gt;"",'Your debts'!$F$13&lt;'Your debts'!$F$6),AQ57,0)+IF(AND('Your debts'!$F$14&lt;&gt;"",'Your debts'!$F$6&lt;&gt;"",'Your debts'!$F$14&lt;'Your debts'!$F$6),AV57,0)+IF(AND('Your debts'!$F$15&lt;&gt;"",'Your debts'!$F$6&lt;&gt;"",'Your debts'!$F$15&lt;'Your debts'!$F$6),BA57,0)))))</f>
        <v/>
      </c>
      <c r="J57" s="33">
        <f>H57-I57</f>
        <v/>
      </c>
      <c r="K57" s="33">
        <f>IF(O56&lt;=0,0,ROUND(O56*(1+'Your debts'!$D$7/1200),2))</f>
        <v/>
      </c>
      <c r="L57" s="33">
        <f>IF(K57&lt;=0,0,MIN('Your debts'!$E$7,K57))</f>
        <v/>
      </c>
      <c r="M57" s="33">
        <f>K57-L57</f>
        <v/>
      </c>
      <c r="N57" s="33">
        <f>IF('Your debts'!$F$7="",0,MIN(M57,MAX(0,MAX(0,'Your debts'!$C$19-(G57+L57+Q57+V57+AA57+AF57+AK57+AP57+AU57+AZ57))-(IF(AND('Your debts'!$F$6&lt;&gt;"",'Your debts'!$F$7&lt;&gt;"",'Your debts'!$F$6&lt;'Your debts'!$F$7),H57,0)+IF(AND('Your debts'!$F$8&lt;&gt;"",'Your debts'!$F$7&lt;&gt;"",'Your debts'!$F$8&lt;'Your debts'!$F$7),R57,0)+IF(AND('Your debts'!$F$9&lt;&gt;"",'Your debts'!$F$7&lt;&gt;"",'Your debts'!$F$9&lt;'Your debts'!$F$7),W57,0)+IF(AND('Your debts'!$F$10&lt;&gt;"",'Your debts'!$F$7&lt;&gt;"",'Your debts'!$F$10&lt;'Your debts'!$F$7),AB57,0)+IF(AND('Your debts'!$F$11&lt;&gt;"",'Your debts'!$F$7&lt;&gt;"",'Your debts'!$F$11&lt;'Your debts'!$F$7),AG57,0)+IF(AND('Your debts'!$F$12&lt;&gt;"",'Your debts'!$F$7&lt;&gt;"",'Your debts'!$F$12&lt;'Your debts'!$F$7),AL57,0)+IF(AND('Your debts'!$F$13&lt;&gt;"",'Your debts'!$F$7&lt;&gt;"",'Your debts'!$F$13&lt;'Your debts'!$F$7),AQ57,0)+IF(AND('Your debts'!$F$14&lt;&gt;"",'Your debts'!$F$7&lt;&gt;"",'Your debts'!$F$14&lt;'Your debts'!$F$7),AV57,0)+IF(AND('Your debts'!$F$15&lt;&gt;"",'Your debts'!$F$7&lt;&gt;"",'Your debts'!$F$15&lt;'Your debts'!$F$7),BA57,0)))))</f>
        <v/>
      </c>
      <c r="O57" s="33">
        <f>M57-N57</f>
        <v/>
      </c>
      <c r="P57" s="33">
        <f>IF(T56&lt;=0,0,ROUND(T56*(1+'Your debts'!$D$8/1200),2))</f>
        <v/>
      </c>
      <c r="Q57" s="33">
        <f>IF(P57&lt;=0,0,MIN('Your debts'!$E$8,P57))</f>
        <v/>
      </c>
      <c r="R57" s="33">
        <f>P57-Q57</f>
        <v/>
      </c>
      <c r="S57" s="33">
        <f>IF('Your debts'!$F$8="",0,MIN(R57,MAX(0,MAX(0,'Your debts'!$C$19-(G57+L57+Q57+V57+AA57+AF57+AK57+AP57+AU57+AZ57))-(IF(AND('Your debts'!$F$6&lt;&gt;"",'Your debts'!$F$8&lt;&gt;"",'Your debts'!$F$6&lt;'Your debts'!$F$8),H57,0)+IF(AND('Your debts'!$F$7&lt;&gt;"",'Your debts'!$F$8&lt;&gt;"",'Your debts'!$F$7&lt;'Your debts'!$F$8),M57,0)+IF(AND('Your debts'!$F$9&lt;&gt;"",'Your debts'!$F$8&lt;&gt;"",'Your debts'!$F$9&lt;'Your debts'!$F$8),W57,0)+IF(AND('Your debts'!$F$10&lt;&gt;"",'Your debts'!$F$8&lt;&gt;"",'Your debts'!$F$10&lt;'Your debts'!$F$8),AB57,0)+IF(AND('Your debts'!$F$11&lt;&gt;"",'Your debts'!$F$8&lt;&gt;"",'Your debts'!$F$11&lt;'Your debts'!$F$8),AG57,0)+IF(AND('Your debts'!$F$12&lt;&gt;"",'Your debts'!$F$8&lt;&gt;"",'Your debts'!$F$12&lt;'Your debts'!$F$8),AL57,0)+IF(AND('Your debts'!$F$13&lt;&gt;"",'Your debts'!$F$8&lt;&gt;"",'Your debts'!$F$13&lt;'Your debts'!$F$8),AQ57,0)+IF(AND('Your debts'!$F$14&lt;&gt;"",'Your debts'!$F$8&lt;&gt;"",'Your debts'!$F$14&lt;'Your debts'!$F$8),AV57,0)+IF(AND('Your debts'!$F$15&lt;&gt;"",'Your debts'!$F$8&lt;&gt;"",'Your debts'!$F$15&lt;'Your debts'!$F$8),BA57,0)))))</f>
        <v/>
      </c>
      <c r="T57" s="33">
        <f>R57-S57</f>
        <v/>
      </c>
      <c r="U57" s="33">
        <f>IF(Y56&lt;=0,0,ROUND(Y56*(1+'Your debts'!$D$9/1200),2))</f>
        <v/>
      </c>
      <c r="V57" s="33">
        <f>IF(U57&lt;=0,0,MIN('Your debts'!$E$9,U57))</f>
        <v/>
      </c>
      <c r="W57" s="33">
        <f>U57-V57</f>
        <v/>
      </c>
      <c r="X57" s="33">
        <f>IF('Your debts'!$F$9="",0,MIN(W57,MAX(0,MAX(0,'Your debts'!$C$19-(G57+L57+Q57+V57+AA57+AF57+AK57+AP57+AU57+AZ57))-(IF(AND('Your debts'!$F$6&lt;&gt;"",'Your debts'!$F$9&lt;&gt;"",'Your debts'!$F$6&lt;'Your debts'!$F$9),H57,0)+IF(AND('Your debts'!$F$7&lt;&gt;"",'Your debts'!$F$9&lt;&gt;"",'Your debts'!$F$7&lt;'Your debts'!$F$9),M57,0)+IF(AND('Your debts'!$F$8&lt;&gt;"",'Your debts'!$F$9&lt;&gt;"",'Your debts'!$F$8&lt;'Your debts'!$F$9),R57,0)+IF(AND('Your debts'!$F$10&lt;&gt;"",'Your debts'!$F$9&lt;&gt;"",'Your debts'!$F$10&lt;'Your debts'!$F$9),AB57,0)+IF(AND('Your debts'!$F$11&lt;&gt;"",'Your debts'!$F$9&lt;&gt;"",'Your debts'!$F$11&lt;'Your debts'!$F$9),AG57,0)+IF(AND('Your debts'!$F$12&lt;&gt;"",'Your debts'!$F$9&lt;&gt;"",'Your debts'!$F$12&lt;'Your debts'!$F$9),AL57,0)+IF(AND('Your debts'!$F$13&lt;&gt;"",'Your debts'!$F$9&lt;&gt;"",'Your debts'!$F$13&lt;'Your debts'!$F$9),AQ57,0)+IF(AND('Your debts'!$F$14&lt;&gt;"",'Your debts'!$F$9&lt;&gt;"",'Your debts'!$F$14&lt;'Your debts'!$F$9),AV57,0)+IF(AND('Your debts'!$F$15&lt;&gt;"",'Your debts'!$F$9&lt;&gt;"",'Your debts'!$F$15&lt;'Your debts'!$F$9),BA57,0)))))</f>
        <v/>
      </c>
      <c r="Y57" s="33">
        <f>W57-X57</f>
        <v/>
      </c>
      <c r="Z57" s="33">
        <f>IF(AD56&lt;=0,0,ROUND(AD56*(1+'Your debts'!$D$10/1200),2))</f>
        <v/>
      </c>
      <c r="AA57" s="33">
        <f>IF(Z57&lt;=0,0,MIN('Your debts'!$E$10,Z57))</f>
        <v/>
      </c>
      <c r="AB57" s="33">
        <f>Z57-AA57</f>
        <v/>
      </c>
      <c r="AC57" s="33">
        <f>IF('Your debts'!$F$10="",0,MIN(AB57,MAX(0,MAX(0,'Your debts'!$C$19-(G57+L57+Q57+V57+AA57+AF57+AK57+AP57+AU57+AZ57))-(IF(AND('Your debts'!$F$6&lt;&gt;"",'Your debts'!$F$10&lt;&gt;"",'Your debts'!$F$6&lt;'Your debts'!$F$10),H57,0)+IF(AND('Your debts'!$F$7&lt;&gt;"",'Your debts'!$F$10&lt;&gt;"",'Your debts'!$F$7&lt;'Your debts'!$F$10),M57,0)+IF(AND('Your debts'!$F$8&lt;&gt;"",'Your debts'!$F$10&lt;&gt;"",'Your debts'!$F$8&lt;'Your debts'!$F$10),R57,0)+IF(AND('Your debts'!$F$9&lt;&gt;"",'Your debts'!$F$10&lt;&gt;"",'Your debts'!$F$9&lt;'Your debts'!$F$10),W57,0)+IF(AND('Your debts'!$F$11&lt;&gt;"",'Your debts'!$F$10&lt;&gt;"",'Your debts'!$F$11&lt;'Your debts'!$F$10),AG57,0)+IF(AND('Your debts'!$F$12&lt;&gt;"",'Your debts'!$F$10&lt;&gt;"",'Your debts'!$F$12&lt;'Your debts'!$F$10),AL57,0)+IF(AND('Your debts'!$F$13&lt;&gt;"",'Your debts'!$F$10&lt;&gt;"",'Your debts'!$F$13&lt;'Your debts'!$F$10),AQ57,0)+IF(AND('Your debts'!$F$14&lt;&gt;"",'Your debts'!$F$10&lt;&gt;"",'Your debts'!$F$14&lt;'Your debts'!$F$10),AV57,0)+IF(AND('Your debts'!$F$15&lt;&gt;"",'Your debts'!$F$10&lt;&gt;"",'Your debts'!$F$15&lt;'Your debts'!$F$10),BA57,0)))))</f>
        <v/>
      </c>
      <c r="AD57" s="33">
        <f>AB57-AC57</f>
        <v/>
      </c>
      <c r="AE57" s="33">
        <f>IF(AI56&lt;=0,0,ROUND(AI56*(1+'Your debts'!$D$11/1200),2))</f>
        <v/>
      </c>
      <c r="AF57" s="33">
        <f>IF(AE57&lt;=0,0,MIN('Your debts'!$E$11,AE57))</f>
        <v/>
      </c>
      <c r="AG57" s="33">
        <f>AE57-AF57</f>
        <v/>
      </c>
      <c r="AH57" s="33">
        <f>IF('Your debts'!$F$11="",0,MIN(AG57,MAX(0,MAX(0,'Your debts'!$C$19-(G57+L57+Q57+V57+AA57+AF57+AK57+AP57+AU57+AZ57))-(IF(AND('Your debts'!$F$6&lt;&gt;"",'Your debts'!$F$11&lt;&gt;"",'Your debts'!$F$6&lt;'Your debts'!$F$11),H57,0)+IF(AND('Your debts'!$F$7&lt;&gt;"",'Your debts'!$F$11&lt;&gt;"",'Your debts'!$F$7&lt;'Your debts'!$F$11),M57,0)+IF(AND('Your debts'!$F$8&lt;&gt;"",'Your debts'!$F$11&lt;&gt;"",'Your debts'!$F$8&lt;'Your debts'!$F$11),R57,0)+IF(AND('Your debts'!$F$9&lt;&gt;"",'Your debts'!$F$11&lt;&gt;"",'Your debts'!$F$9&lt;'Your debts'!$F$11),W57,0)+IF(AND('Your debts'!$F$10&lt;&gt;"",'Your debts'!$F$11&lt;&gt;"",'Your debts'!$F$10&lt;'Your debts'!$F$11),AB57,0)+IF(AND('Your debts'!$F$12&lt;&gt;"",'Your debts'!$F$11&lt;&gt;"",'Your debts'!$F$12&lt;'Your debts'!$F$11),AL57,0)+IF(AND('Your debts'!$F$13&lt;&gt;"",'Your debts'!$F$11&lt;&gt;"",'Your debts'!$F$13&lt;'Your debts'!$F$11),AQ57,0)+IF(AND('Your debts'!$F$14&lt;&gt;"",'Your debts'!$F$11&lt;&gt;"",'Your debts'!$F$14&lt;'Your debts'!$F$11),AV57,0)+IF(AND('Your debts'!$F$15&lt;&gt;"",'Your debts'!$F$11&lt;&gt;"",'Your debts'!$F$15&lt;'Your debts'!$F$11),BA57,0)))))</f>
        <v/>
      </c>
      <c r="AI57" s="33">
        <f>AG57-AH57</f>
        <v/>
      </c>
      <c r="AJ57" s="33">
        <f>IF(AN56&lt;=0,0,ROUND(AN56*(1+'Your debts'!$D$12/1200),2))</f>
        <v/>
      </c>
      <c r="AK57" s="33">
        <f>IF(AJ57&lt;=0,0,MIN('Your debts'!$E$12,AJ57))</f>
        <v/>
      </c>
      <c r="AL57" s="33">
        <f>AJ57-AK57</f>
        <v/>
      </c>
      <c r="AM57" s="33">
        <f>IF('Your debts'!$F$12="",0,MIN(AL57,MAX(0,MAX(0,'Your debts'!$C$19-(G57+L57+Q57+V57+AA57+AF57+AK57+AP57+AU57+AZ57))-(IF(AND('Your debts'!$F$6&lt;&gt;"",'Your debts'!$F$12&lt;&gt;"",'Your debts'!$F$6&lt;'Your debts'!$F$12),H57,0)+IF(AND('Your debts'!$F$7&lt;&gt;"",'Your debts'!$F$12&lt;&gt;"",'Your debts'!$F$7&lt;'Your debts'!$F$12),M57,0)+IF(AND('Your debts'!$F$8&lt;&gt;"",'Your debts'!$F$12&lt;&gt;"",'Your debts'!$F$8&lt;'Your debts'!$F$12),R57,0)+IF(AND('Your debts'!$F$9&lt;&gt;"",'Your debts'!$F$12&lt;&gt;"",'Your debts'!$F$9&lt;'Your debts'!$F$12),W57,0)+IF(AND('Your debts'!$F$10&lt;&gt;"",'Your debts'!$F$12&lt;&gt;"",'Your debts'!$F$10&lt;'Your debts'!$F$12),AB57,0)+IF(AND('Your debts'!$F$11&lt;&gt;"",'Your debts'!$F$12&lt;&gt;"",'Your debts'!$F$11&lt;'Your debts'!$F$12),AG57,0)+IF(AND('Your debts'!$F$13&lt;&gt;"",'Your debts'!$F$12&lt;&gt;"",'Your debts'!$F$13&lt;'Your debts'!$F$12),AQ57,0)+IF(AND('Your debts'!$F$14&lt;&gt;"",'Your debts'!$F$12&lt;&gt;"",'Your debts'!$F$14&lt;'Your debts'!$F$12),AV57,0)+IF(AND('Your debts'!$F$15&lt;&gt;"",'Your debts'!$F$12&lt;&gt;"",'Your debts'!$F$15&lt;'Your debts'!$F$12),BA57,0)))))</f>
        <v/>
      </c>
      <c r="AN57" s="33">
        <f>AL57-AM57</f>
        <v/>
      </c>
      <c r="AO57" s="33">
        <f>IF(AS56&lt;=0,0,ROUND(AS56*(1+'Your debts'!$D$13/1200),2))</f>
        <v/>
      </c>
      <c r="AP57" s="33">
        <f>IF(AO57&lt;=0,0,MIN('Your debts'!$E$13,AO57))</f>
        <v/>
      </c>
      <c r="AQ57" s="33">
        <f>AO57-AP57</f>
        <v/>
      </c>
      <c r="AR57" s="33">
        <f>IF('Your debts'!$F$13="",0,MIN(AQ57,MAX(0,MAX(0,'Your debts'!$C$19-(G57+L57+Q57+V57+AA57+AF57+AK57+AP57+AU57+AZ57))-(IF(AND('Your debts'!$F$6&lt;&gt;"",'Your debts'!$F$13&lt;&gt;"",'Your debts'!$F$6&lt;'Your debts'!$F$13),H57,0)+IF(AND('Your debts'!$F$7&lt;&gt;"",'Your debts'!$F$13&lt;&gt;"",'Your debts'!$F$7&lt;'Your debts'!$F$13),M57,0)+IF(AND('Your debts'!$F$8&lt;&gt;"",'Your debts'!$F$13&lt;&gt;"",'Your debts'!$F$8&lt;'Your debts'!$F$13),R57,0)+IF(AND('Your debts'!$F$9&lt;&gt;"",'Your debts'!$F$13&lt;&gt;"",'Your debts'!$F$9&lt;'Your debts'!$F$13),W57,0)+IF(AND('Your debts'!$F$10&lt;&gt;"",'Your debts'!$F$13&lt;&gt;"",'Your debts'!$F$10&lt;'Your debts'!$F$13),AB57,0)+IF(AND('Your debts'!$F$11&lt;&gt;"",'Your debts'!$F$13&lt;&gt;"",'Your debts'!$F$11&lt;'Your debts'!$F$13),AG57,0)+IF(AND('Your debts'!$F$12&lt;&gt;"",'Your debts'!$F$13&lt;&gt;"",'Your debts'!$F$12&lt;'Your debts'!$F$13),AL57,0)+IF(AND('Your debts'!$F$14&lt;&gt;"",'Your debts'!$F$13&lt;&gt;"",'Your debts'!$F$14&lt;'Your debts'!$F$13),AV57,0)+IF(AND('Your debts'!$F$15&lt;&gt;"",'Your debts'!$F$13&lt;&gt;"",'Your debts'!$F$15&lt;'Your debts'!$F$13),BA57,0)))))</f>
        <v/>
      </c>
      <c r="AS57" s="33">
        <f>AQ57-AR57</f>
        <v/>
      </c>
      <c r="AT57" s="33">
        <f>IF(AX56&lt;=0,0,ROUND(AX56*(1+'Your debts'!$D$14/1200),2))</f>
        <v/>
      </c>
      <c r="AU57" s="33">
        <f>IF(AT57&lt;=0,0,MIN('Your debts'!$E$14,AT57))</f>
        <v/>
      </c>
      <c r="AV57" s="33">
        <f>AT57-AU57</f>
        <v/>
      </c>
      <c r="AW57" s="33">
        <f>IF('Your debts'!$F$14="",0,MIN(AV57,MAX(0,MAX(0,'Your debts'!$C$19-(G57+L57+Q57+V57+AA57+AF57+AK57+AP57+AU57+AZ57))-(IF(AND('Your debts'!$F$6&lt;&gt;"",'Your debts'!$F$14&lt;&gt;"",'Your debts'!$F$6&lt;'Your debts'!$F$14),H57,0)+IF(AND('Your debts'!$F$7&lt;&gt;"",'Your debts'!$F$14&lt;&gt;"",'Your debts'!$F$7&lt;'Your debts'!$F$14),M57,0)+IF(AND('Your debts'!$F$8&lt;&gt;"",'Your debts'!$F$14&lt;&gt;"",'Your debts'!$F$8&lt;'Your debts'!$F$14),R57,0)+IF(AND('Your debts'!$F$9&lt;&gt;"",'Your debts'!$F$14&lt;&gt;"",'Your debts'!$F$9&lt;'Your debts'!$F$14),W57,0)+IF(AND('Your debts'!$F$10&lt;&gt;"",'Your debts'!$F$14&lt;&gt;"",'Your debts'!$F$10&lt;'Your debts'!$F$14),AB57,0)+IF(AND('Your debts'!$F$11&lt;&gt;"",'Your debts'!$F$14&lt;&gt;"",'Your debts'!$F$11&lt;'Your debts'!$F$14),AG57,0)+IF(AND('Your debts'!$F$12&lt;&gt;"",'Your debts'!$F$14&lt;&gt;"",'Your debts'!$F$12&lt;'Your debts'!$F$14),AL57,0)+IF(AND('Your debts'!$F$13&lt;&gt;"",'Your debts'!$F$14&lt;&gt;"",'Your debts'!$F$13&lt;'Your debts'!$F$14),AQ57,0)+IF(AND('Your debts'!$F$15&lt;&gt;"",'Your debts'!$F$14&lt;&gt;"",'Your debts'!$F$15&lt;'Your debts'!$F$14),BA57,0)))))</f>
        <v/>
      </c>
      <c r="AX57" s="33">
        <f>AV57-AW57</f>
        <v/>
      </c>
      <c r="AY57" s="33">
        <f>IF(BC56&lt;=0,0,ROUND(BC56*(1+'Your debts'!$D$15/1200),2))</f>
        <v/>
      </c>
      <c r="AZ57" s="33">
        <f>IF(AY57&lt;=0,0,MIN('Your debts'!$E$15,AY57))</f>
        <v/>
      </c>
      <c r="BA57" s="33">
        <f>AY57-AZ57</f>
        <v/>
      </c>
      <c r="BB57" s="33">
        <f>IF('Your debts'!$F$15="",0,MIN(BA57,MAX(0,MAX(0,'Your debts'!$C$19-(G57+L57+Q57+V57+AA57+AF57+AK57+AP57+AU57+AZ57))-(IF(AND('Your debts'!$F$6&lt;&gt;"",'Your debts'!$F$15&lt;&gt;"",'Your debts'!$F$6&lt;'Your debts'!$F$15),H57,0)+IF(AND('Your debts'!$F$7&lt;&gt;"",'Your debts'!$F$15&lt;&gt;"",'Your debts'!$F$7&lt;'Your debts'!$F$15),M57,0)+IF(AND('Your debts'!$F$8&lt;&gt;"",'Your debts'!$F$15&lt;&gt;"",'Your debts'!$F$8&lt;'Your debts'!$F$15),R57,0)+IF(AND('Your debts'!$F$9&lt;&gt;"",'Your debts'!$F$15&lt;&gt;"",'Your debts'!$F$9&lt;'Your debts'!$F$15),W57,0)+IF(AND('Your debts'!$F$10&lt;&gt;"",'Your debts'!$F$15&lt;&gt;"",'Your debts'!$F$10&lt;'Your debts'!$F$15),AB57,0)+IF(AND('Your debts'!$F$11&lt;&gt;"",'Your debts'!$F$15&lt;&gt;"",'Your debts'!$F$11&lt;'Your debts'!$F$15),AG57,0)+IF(AND('Your debts'!$F$12&lt;&gt;"",'Your debts'!$F$15&lt;&gt;"",'Your debts'!$F$12&lt;'Your debts'!$F$15),AL57,0)+IF(AND('Your debts'!$F$13&lt;&gt;"",'Your debts'!$F$15&lt;&gt;"",'Your debts'!$F$13&lt;'Your debts'!$F$15),AQ57,0)+IF(AND('Your debts'!$F$14&lt;&gt;"",'Your debts'!$F$15&lt;&gt;"",'Your debts'!$F$14&lt;'Your debts'!$F$15),AV57,0)))))</f>
        <v/>
      </c>
      <c r="BC57" s="33">
        <f>BA57-BB57</f>
        <v/>
      </c>
    </row>
    <row r="58">
      <c r="A58" s="30" t="n">
        <v>43</v>
      </c>
      <c r="B58" s="31">
        <f>EDATE($B$15,43)</f>
        <v/>
      </c>
      <c r="C58" s="32">
        <f>IF(J57&lt;=0,0,F58-J57)+IF(O57&lt;=0,0,K58-O57)+IF(T57&lt;=0,0,P58-T57)+IF(Y57&lt;=0,0,U58-Y57)+IF(AD57&lt;=0,0,Z58-AD57)+IF(AI57&lt;=0,0,AE58-AI57)+IF(AN57&lt;=0,0,AJ58-AN57)+IF(AS57&lt;=0,0,AO58-AS57)+IF(AX57&lt;=0,0,AT58-AX57)+IF(BC57&lt;=0,0,AY58-BC57)</f>
        <v/>
      </c>
      <c r="D58" s="32">
        <f>G58+I58+L58+N58+Q58+S58+V58+X58+AA58+AC58+AF58+AH58+AK58+AM58+AP58+AR58+AU58+AW58+AZ58+BB58</f>
        <v/>
      </c>
      <c r="E58" s="32">
        <f>J58+O58+T58+Y58+AD58+AI58+AN58+AS58+AX58+BC58</f>
        <v/>
      </c>
      <c r="F58" s="33">
        <f>IF(J57&lt;=0,0,ROUND(J57*(1+'Your debts'!$D$6/1200),2))</f>
        <v/>
      </c>
      <c r="G58" s="33">
        <f>IF(F58&lt;=0,0,MIN('Your debts'!$E$6,F58))</f>
        <v/>
      </c>
      <c r="H58" s="33">
        <f>F58-G58</f>
        <v/>
      </c>
      <c r="I58" s="33">
        <f>IF('Your debts'!$F$6="",0,MIN(H58,MAX(0,MAX(0,'Your debts'!$C$19-(G58+L58+Q58+V58+AA58+AF58+AK58+AP58+AU58+AZ58))-(IF(AND('Your debts'!$F$7&lt;&gt;"",'Your debts'!$F$6&lt;&gt;"",'Your debts'!$F$7&lt;'Your debts'!$F$6),M58,0)+IF(AND('Your debts'!$F$8&lt;&gt;"",'Your debts'!$F$6&lt;&gt;"",'Your debts'!$F$8&lt;'Your debts'!$F$6),R58,0)+IF(AND('Your debts'!$F$9&lt;&gt;"",'Your debts'!$F$6&lt;&gt;"",'Your debts'!$F$9&lt;'Your debts'!$F$6),W58,0)+IF(AND('Your debts'!$F$10&lt;&gt;"",'Your debts'!$F$6&lt;&gt;"",'Your debts'!$F$10&lt;'Your debts'!$F$6),AB58,0)+IF(AND('Your debts'!$F$11&lt;&gt;"",'Your debts'!$F$6&lt;&gt;"",'Your debts'!$F$11&lt;'Your debts'!$F$6),AG58,0)+IF(AND('Your debts'!$F$12&lt;&gt;"",'Your debts'!$F$6&lt;&gt;"",'Your debts'!$F$12&lt;'Your debts'!$F$6),AL58,0)+IF(AND('Your debts'!$F$13&lt;&gt;"",'Your debts'!$F$6&lt;&gt;"",'Your debts'!$F$13&lt;'Your debts'!$F$6),AQ58,0)+IF(AND('Your debts'!$F$14&lt;&gt;"",'Your debts'!$F$6&lt;&gt;"",'Your debts'!$F$14&lt;'Your debts'!$F$6),AV58,0)+IF(AND('Your debts'!$F$15&lt;&gt;"",'Your debts'!$F$6&lt;&gt;"",'Your debts'!$F$15&lt;'Your debts'!$F$6),BA58,0)))))</f>
        <v/>
      </c>
      <c r="J58" s="33">
        <f>H58-I58</f>
        <v/>
      </c>
      <c r="K58" s="33">
        <f>IF(O57&lt;=0,0,ROUND(O57*(1+'Your debts'!$D$7/1200),2))</f>
        <v/>
      </c>
      <c r="L58" s="33">
        <f>IF(K58&lt;=0,0,MIN('Your debts'!$E$7,K58))</f>
        <v/>
      </c>
      <c r="M58" s="33">
        <f>K58-L58</f>
        <v/>
      </c>
      <c r="N58" s="33">
        <f>IF('Your debts'!$F$7="",0,MIN(M58,MAX(0,MAX(0,'Your debts'!$C$19-(G58+L58+Q58+V58+AA58+AF58+AK58+AP58+AU58+AZ58))-(IF(AND('Your debts'!$F$6&lt;&gt;"",'Your debts'!$F$7&lt;&gt;"",'Your debts'!$F$6&lt;'Your debts'!$F$7),H58,0)+IF(AND('Your debts'!$F$8&lt;&gt;"",'Your debts'!$F$7&lt;&gt;"",'Your debts'!$F$8&lt;'Your debts'!$F$7),R58,0)+IF(AND('Your debts'!$F$9&lt;&gt;"",'Your debts'!$F$7&lt;&gt;"",'Your debts'!$F$9&lt;'Your debts'!$F$7),W58,0)+IF(AND('Your debts'!$F$10&lt;&gt;"",'Your debts'!$F$7&lt;&gt;"",'Your debts'!$F$10&lt;'Your debts'!$F$7),AB58,0)+IF(AND('Your debts'!$F$11&lt;&gt;"",'Your debts'!$F$7&lt;&gt;"",'Your debts'!$F$11&lt;'Your debts'!$F$7),AG58,0)+IF(AND('Your debts'!$F$12&lt;&gt;"",'Your debts'!$F$7&lt;&gt;"",'Your debts'!$F$12&lt;'Your debts'!$F$7),AL58,0)+IF(AND('Your debts'!$F$13&lt;&gt;"",'Your debts'!$F$7&lt;&gt;"",'Your debts'!$F$13&lt;'Your debts'!$F$7),AQ58,0)+IF(AND('Your debts'!$F$14&lt;&gt;"",'Your debts'!$F$7&lt;&gt;"",'Your debts'!$F$14&lt;'Your debts'!$F$7),AV58,0)+IF(AND('Your debts'!$F$15&lt;&gt;"",'Your debts'!$F$7&lt;&gt;"",'Your debts'!$F$15&lt;'Your debts'!$F$7),BA58,0)))))</f>
        <v/>
      </c>
      <c r="O58" s="33">
        <f>M58-N58</f>
        <v/>
      </c>
      <c r="P58" s="33">
        <f>IF(T57&lt;=0,0,ROUND(T57*(1+'Your debts'!$D$8/1200),2))</f>
        <v/>
      </c>
      <c r="Q58" s="33">
        <f>IF(P58&lt;=0,0,MIN('Your debts'!$E$8,P58))</f>
        <v/>
      </c>
      <c r="R58" s="33">
        <f>P58-Q58</f>
        <v/>
      </c>
      <c r="S58" s="33">
        <f>IF('Your debts'!$F$8="",0,MIN(R58,MAX(0,MAX(0,'Your debts'!$C$19-(G58+L58+Q58+V58+AA58+AF58+AK58+AP58+AU58+AZ58))-(IF(AND('Your debts'!$F$6&lt;&gt;"",'Your debts'!$F$8&lt;&gt;"",'Your debts'!$F$6&lt;'Your debts'!$F$8),H58,0)+IF(AND('Your debts'!$F$7&lt;&gt;"",'Your debts'!$F$8&lt;&gt;"",'Your debts'!$F$7&lt;'Your debts'!$F$8),M58,0)+IF(AND('Your debts'!$F$9&lt;&gt;"",'Your debts'!$F$8&lt;&gt;"",'Your debts'!$F$9&lt;'Your debts'!$F$8),W58,0)+IF(AND('Your debts'!$F$10&lt;&gt;"",'Your debts'!$F$8&lt;&gt;"",'Your debts'!$F$10&lt;'Your debts'!$F$8),AB58,0)+IF(AND('Your debts'!$F$11&lt;&gt;"",'Your debts'!$F$8&lt;&gt;"",'Your debts'!$F$11&lt;'Your debts'!$F$8),AG58,0)+IF(AND('Your debts'!$F$12&lt;&gt;"",'Your debts'!$F$8&lt;&gt;"",'Your debts'!$F$12&lt;'Your debts'!$F$8),AL58,0)+IF(AND('Your debts'!$F$13&lt;&gt;"",'Your debts'!$F$8&lt;&gt;"",'Your debts'!$F$13&lt;'Your debts'!$F$8),AQ58,0)+IF(AND('Your debts'!$F$14&lt;&gt;"",'Your debts'!$F$8&lt;&gt;"",'Your debts'!$F$14&lt;'Your debts'!$F$8),AV58,0)+IF(AND('Your debts'!$F$15&lt;&gt;"",'Your debts'!$F$8&lt;&gt;"",'Your debts'!$F$15&lt;'Your debts'!$F$8),BA58,0)))))</f>
        <v/>
      </c>
      <c r="T58" s="33">
        <f>R58-S58</f>
        <v/>
      </c>
      <c r="U58" s="33">
        <f>IF(Y57&lt;=0,0,ROUND(Y57*(1+'Your debts'!$D$9/1200),2))</f>
        <v/>
      </c>
      <c r="V58" s="33">
        <f>IF(U58&lt;=0,0,MIN('Your debts'!$E$9,U58))</f>
        <v/>
      </c>
      <c r="W58" s="33">
        <f>U58-V58</f>
        <v/>
      </c>
      <c r="X58" s="33">
        <f>IF('Your debts'!$F$9="",0,MIN(W58,MAX(0,MAX(0,'Your debts'!$C$19-(G58+L58+Q58+V58+AA58+AF58+AK58+AP58+AU58+AZ58))-(IF(AND('Your debts'!$F$6&lt;&gt;"",'Your debts'!$F$9&lt;&gt;"",'Your debts'!$F$6&lt;'Your debts'!$F$9),H58,0)+IF(AND('Your debts'!$F$7&lt;&gt;"",'Your debts'!$F$9&lt;&gt;"",'Your debts'!$F$7&lt;'Your debts'!$F$9),M58,0)+IF(AND('Your debts'!$F$8&lt;&gt;"",'Your debts'!$F$9&lt;&gt;"",'Your debts'!$F$8&lt;'Your debts'!$F$9),R58,0)+IF(AND('Your debts'!$F$10&lt;&gt;"",'Your debts'!$F$9&lt;&gt;"",'Your debts'!$F$10&lt;'Your debts'!$F$9),AB58,0)+IF(AND('Your debts'!$F$11&lt;&gt;"",'Your debts'!$F$9&lt;&gt;"",'Your debts'!$F$11&lt;'Your debts'!$F$9),AG58,0)+IF(AND('Your debts'!$F$12&lt;&gt;"",'Your debts'!$F$9&lt;&gt;"",'Your debts'!$F$12&lt;'Your debts'!$F$9),AL58,0)+IF(AND('Your debts'!$F$13&lt;&gt;"",'Your debts'!$F$9&lt;&gt;"",'Your debts'!$F$13&lt;'Your debts'!$F$9),AQ58,0)+IF(AND('Your debts'!$F$14&lt;&gt;"",'Your debts'!$F$9&lt;&gt;"",'Your debts'!$F$14&lt;'Your debts'!$F$9),AV58,0)+IF(AND('Your debts'!$F$15&lt;&gt;"",'Your debts'!$F$9&lt;&gt;"",'Your debts'!$F$15&lt;'Your debts'!$F$9),BA58,0)))))</f>
        <v/>
      </c>
      <c r="Y58" s="33">
        <f>W58-X58</f>
        <v/>
      </c>
      <c r="Z58" s="33">
        <f>IF(AD57&lt;=0,0,ROUND(AD57*(1+'Your debts'!$D$10/1200),2))</f>
        <v/>
      </c>
      <c r="AA58" s="33">
        <f>IF(Z58&lt;=0,0,MIN('Your debts'!$E$10,Z58))</f>
        <v/>
      </c>
      <c r="AB58" s="33">
        <f>Z58-AA58</f>
        <v/>
      </c>
      <c r="AC58" s="33">
        <f>IF('Your debts'!$F$10="",0,MIN(AB58,MAX(0,MAX(0,'Your debts'!$C$19-(G58+L58+Q58+V58+AA58+AF58+AK58+AP58+AU58+AZ58))-(IF(AND('Your debts'!$F$6&lt;&gt;"",'Your debts'!$F$10&lt;&gt;"",'Your debts'!$F$6&lt;'Your debts'!$F$10),H58,0)+IF(AND('Your debts'!$F$7&lt;&gt;"",'Your debts'!$F$10&lt;&gt;"",'Your debts'!$F$7&lt;'Your debts'!$F$10),M58,0)+IF(AND('Your debts'!$F$8&lt;&gt;"",'Your debts'!$F$10&lt;&gt;"",'Your debts'!$F$8&lt;'Your debts'!$F$10),R58,0)+IF(AND('Your debts'!$F$9&lt;&gt;"",'Your debts'!$F$10&lt;&gt;"",'Your debts'!$F$9&lt;'Your debts'!$F$10),W58,0)+IF(AND('Your debts'!$F$11&lt;&gt;"",'Your debts'!$F$10&lt;&gt;"",'Your debts'!$F$11&lt;'Your debts'!$F$10),AG58,0)+IF(AND('Your debts'!$F$12&lt;&gt;"",'Your debts'!$F$10&lt;&gt;"",'Your debts'!$F$12&lt;'Your debts'!$F$10),AL58,0)+IF(AND('Your debts'!$F$13&lt;&gt;"",'Your debts'!$F$10&lt;&gt;"",'Your debts'!$F$13&lt;'Your debts'!$F$10),AQ58,0)+IF(AND('Your debts'!$F$14&lt;&gt;"",'Your debts'!$F$10&lt;&gt;"",'Your debts'!$F$14&lt;'Your debts'!$F$10),AV58,0)+IF(AND('Your debts'!$F$15&lt;&gt;"",'Your debts'!$F$10&lt;&gt;"",'Your debts'!$F$15&lt;'Your debts'!$F$10),BA58,0)))))</f>
        <v/>
      </c>
      <c r="AD58" s="33">
        <f>AB58-AC58</f>
        <v/>
      </c>
      <c r="AE58" s="33">
        <f>IF(AI57&lt;=0,0,ROUND(AI57*(1+'Your debts'!$D$11/1200),2))</f>
        <v/>
      </c>
      <c r="AF58" s="33">
        <f>IF(AE58&lt;=0,0,MIN('Your debts'!$E$11,AE58))</f>
        <v/>
      </c>
      <c r="AG58" s="33">
        <f>AE58-AF58</f>
        <v/>
      </c>
      <c r="AH58" s="33">
        <f>IF('Your debts'!$F$11="",0,MIN(AG58,MAX(0,MAX(0,'Your debts'!$C$19-(G58+L58+Q58+V58+AA58+AF58+AK58+AP58+AU58+AZ58))-(IF(AND('Your debts'!$F$6&lt;&gt;"",'Your debts'!$F$11&lt;&gt;"",'Your debts'!$F$6&lt;'Your debts'!$F$11),H58,0)+IF(AND('Your debts'!$F$7&lt;&gt;"",'Your debts'!$F$11&lt;&gt;"",'Your debts'!$F$7&lt;'Your debts'!$F$11),M58,0)+IF(AND('Your debts'!$F$8&lt;&gt;"",'Your debts'!$F$11&lt;&gt;"",'Your debts'!$F$8&lt;'Your debts'!$F$11),R58,0)+IF(AND('Your debts'!$F$9&lt;&gt;"",'Your debts'!$F$11&lt;&gt;"",'Your debts'!$F$9&lt;'Your debts'!$F$11),W58,0)+IF(AND('Your debts'!$F$10&lt;&gt;"",'Your debts'!$F$11&lt;&gt;"",'Your debts'!$F$10&lt;'Your debts'!$F$11),AB58,0)+IF(AND('Your debts'!$F$12&lt;&gt;"",'Your debts'!$F$11&lt;&gt;"",'Your debts'!$F$12&lt;'Your debts'!$F$11),AL58,0)+IF(AND('Your debts'!$F$13&lt;&gt;"",'Your debts'!$F$11&lt;&gt;"",'Your debts'!$F$13&lt;'Your debts'!$F$11),AQ58,0)+IF(AND('Your debts'!$F$14&lt;&gt;"",'Your debts'!$F$11&lt;&gt;"",'Your debts'!$F$14&lt;'Your debts'!$F$11),AV58,0)+IF(AND('Your debts'!$F$15&lt;&gt;"",'Your debts'!$F$11&lt;&gt;"",'Your debts'!$F$15&lt;'Your debts'!$F$11),BA58,0)))))</f>
        <v/>
      </c>
      <c r="AI58" s="33">
        <f>AG58-AH58</f>
        <v/>
      </c>
      <c r="AJ58" s="33">
        <f>IF(AN57&lt;=0,0,ROUND(AN57*(1+'Your debts'!$D$12/1200),2))</f>
        <v/>
      </c>
      <c r="AK58" s="33">
        <f>IF(AJ58&lt;=0,0,MIN('Your debts'!$E$12,AJ58))</f>
        <v/>
      </c>
      <c r="AL58" s="33">
        <f>AJ58-AK58</f>
        <v/>
      </c>
      <c r="AM58" s="33">
        <f>IF('Your debts'!$F$12="",0,MIN(AL58,MAX(0,MAX(0,'Your debts'!$C$19-(G58+L58+Q58+V58+AA58+AF58+AK58+AP58+AU58+AZ58))-(IF(AND('Your debts'!$F$6&lt;&gt;"",'Your debts'!$F$12&lt;&gt;"",'Your debts'!$F$6&lt;'Your debts'!$F$12),H58,0)+IF(AND('Your debts'!$F$7&lt;&gt;"",'Your debts'!$F$12&lt;&gt;"",'Your debts'!$F$7&lt;'Your debts'!$F$12),M58,0)+IF(AND('Your debts'!$F$8&lt;&gt;"",'Your debts'!$F$12&lt;&gt;"",'Your debts'!$F$8&lt;'Your debts'!$F$12),R58,0)+IF(AND('Your debts'!$F$9&lt;&gt;"",'Your debts'!$F$12&lt;&gt;"",'Your debts'!$F$9&lt;'Your debts'!$F$12),W58,0)+IF(AND('Your debts'!$F$10&lt;&gt;"",'Your debts'!$F$12&lt;&gt;"",'Your debts'!$F$10&lt;'Your debts'!$F$12),AB58,0)+IF(AND('Your debts'!$F$11&lt;&gt;"",'Your debts'!$F$12&lt;&gt;"",'Your debts'!$F$11&lt;'Your debts'!$F$12),AG58,0)+IF(AND('Your debts'!$F$13&lt;&gt;"",'Your debts'!$F$12&lt;&gt;"",'Your debts'!$F$13&lt;'Your debts'!$F$12),AQ58,0)+IF(AND('Your debts'!$F$14&lt;&gt;"",'Your debts'!$F$12&lt;&gt;"",'Your debts'!$F$14&lt;'Your debts'!$F$12),AV58,0)+IF(AND('Your debts'!$F$15&lt;&gt;"",'Your debts'!$F$12&lt;&gt;"",'Your debts'!$F$15&lt;'Your debts'!$F$12),BA58,0)))))</f>
        <v/>
      </c>
      <c r="AN58" s="33">
        <f>AL58-AM58</f>
        <v/>
      </c>
      <c r="AO58" s="33">
        <f>IF(AS57&lt;=0,0,ROUND(AS57*(1+'Your debts'!$D$13/1200),2))</f>
        <v/>
      </c>
      <c r="AP58" s="33">
        <f>IF(AO58&lt;=0,0,MIN('Your debts'!$E$13,AO58))</f>
        <v/>
      </c>
      <c r="AQ58" s="33">
        <f>AO58-AP58</f>
        <v/>
      </c>
      <c r="AR58" s="33">
        <f>IF('Your debts'!$F$13="",0,MIN(AQ58,MAX(0,MAX(0,'Your debts'!$C$19-(G58+L58+Q58+V58+AA58+AF58+AK58+AP58+AU58+AZ58))-(IF(AND('Your debts'!$F$6&lt;&gt;"",'Your debts'!$F$13&lt;&gt;"",'Your debts'!$F$6&lt;'Your debts'!$F$13),H58,0)+IF(AND('Your debts'!$F$7&lt;&gt;"",'Your debts'!$F$13&lt;&gt;"",'Your debts'!$F$7&lt;'Your debts'!$F$13),M58,0)+IF(AND('Your debts'!$F$8&lt;&gt;"",'Your debts'!$F$13&lt;&gt;"",'Your debts'!$F$8&lt;'Your debts'!$F$13),R58,0)+IF(AND('Your debts'!$F$9&lt;&gt;"",'Your debts'!$F$13&lt;&gt;"",'Your debts'!$F$9&lt;'Your debts'!$F$13),W58,0)+IF(AND('Your debts'!$F$10&lt;&gt;"",'Your debts'!$F$13&lt;&gt;"",'Your debts'!$F$10&lt;'Your debts'!$F$13),AB58,0)+IF(AND('Your debts'!$F$11&lt;&gt;"",'Your debts'!$F$13&lt;&gt;"",'Your debts'!$F$11&lt;'Your debts'!$F$13),AG58,0)+IF(AND('Your debts'!$F$12&lt;&gt;"",'Your debts'!$F$13&lt;&gt;"",'Your debts'!$F$12&lt;'Your debts'!$F$13),AL58,0)+IF(AND('Your debts'!$F$14&lt;&gt;"",'Your debts'!$F$13&lt;&gt;"",'Your debts'!$F$14&lt;'Your debts'!$F$13),AV58,0)+IF(AND('Your debts'!$F$15&lt;&gt;"",'Your debts'!$F$13&lt;&gt;"",'Your debts'!$F$15&lt;'Your debts'!$F$13),BA58,0)))))</f>
        <v/>
      </c>
      <c r="AS58" s="33">
        <f>AQ58-AR58</f>
        <v/>
      </c>
      <c r="AT58" s="33">
        <f>IF(AX57&lt;=0,0,ROUND(AX57*(1+'Your debts'!$D$14/1200),2))</f>
        <v/>
      </c>
      <c r="AU58" s="33">
        <f>IF(AT58&lt;=0,0,MIN('Your debts'!$E$14,AT58))</f>
        <v/>
      </c>
      <c r="AV58" s="33">
        <f>AT58-AU58</f>
        <v/>
      </c>
      <c r="AW58" s="33">
        <f>IF('Your debts'!$F$14="",0,MIN(AV58,MAX(0,MAX(0,'Your debts'!$C$19-(G58+L58+Q58+V58+AA58+AF58+AK58+AP58+AU58+AZ58))-(IF(AND('Your debts'!$F$6&lt;&gt;"",'Your debts'!$F$14&lt;&gt;"",'Your debts'!$F$6&lt;'Your debts'!$F$14),H58,0)+IF(AND('Your debts'!$F$7&lt;&gt;"",'Your debts'!$F$14&lt;&gt;"",'Your debts'!$F$7&lt;'Your debts'!$F$14),M58,0)+IF(AND('Your debts'!$F$8&lt;&gt;"",'Your debts'!$F$14&lt;&gt;"",'Your debts'!$F$8&lt;'Your debts'!$F$14),R58,0)+IF(AND('Your debts'!$F$9&lt;&gt;"",'Your debts'!$F$14&lt;&gt;"",'Your debts'!$F$9&lt;'Your debts'!$F$14),W58,0)+IF(AND('Your debts'!$F$10&lt;&gt;"",'Your debts'!$F$14&lt;&gt;"",'Your debts'!$F$10&lt;'Your debts'!$F$14),AB58,0)+IF(AND('Your debts'!$F$11&lt;&gt;"",'Your debts'!$F$14&lt;&gt;"",'Your debts'!$F$11&lt;'Your debts'!$F$14),AG58,0)+IF(AND('Your debts'!$F$12&lt;&gt;"",'Your debts'!$F$14&lt;&gt;"",'Your debts'!$F$12&lt;'Your debts'!$F$14),AL58,0)+IF(AND('Your debts'!$F$13&lt;&gt;"",'Your debts'!$F$14&lt;&gt;"",'Your debts'!$F$13&lt;'Your debts'!$F$14),AQ58,0)+IF(AND('Your debts'!$F$15&lt;&gt;"",'Your debts'!$F$14&lt;&gt;"",'Your debts'!$F$15&lt;'Your debts'!$F$14),BA58,0)))))</f>
        <v/>
      </c>
      <c r="AX58" s="33">
        <f>AV58-AW58</f>
        <v/>
      </c>
      <c r="AY58" s="33">
        <f>IF(BC57&lt;=0,0,ROUND(BC57*(1+'Your debts'!$D$15/1200),2))</f>
        <v/>
      </c>
      <c r="AZ58" s="33">
        <f>IF(AY58&lt;=0,0,MIN('Your debts'!$E$15,AY58))</f>
        <v/>
      </c>
      <c r="BA58" s="33">
        <f>AY58-AZ58</f>
        <v/>
      </c>
      <c r="BB58" s="33">
        <f>IF('Your debts'!$F$15="",0,MIN(BA58,MAX(0,MAX(0,'Your debts'!$C$19-(G58+L58+Q58+V58+AA58+AF58+AK58+AP58+AU58+AZ58))-(IF(AND('Your debts'!$F$6&lt;&gt;"",'Your debts'!$F$15&lt;&gt;"",'Your debts'!$F$6&lt;'Your debts'!$F$15),H58,0)+IF(AND('Your debts'!$F$7&lt;&gt;"",'Your debts'!$F$15&lt;&gt;"",'Your debts'!$F$7&lt;'Your debts'!$F$15),M58,0)+IF(AND('Your debts'!$F$8&lt;&gt;"",'Your debts'!$F$15&lt;&gt;"",'Your debts'!$F$8&lt;'Your debts'!$F$15),R58,0)+IF(AND('Your debts'!$F$9&lt;&gt;"",'Your debts'!$F$15&lt;&gt;"",'Your debts'!$F$9&lt;'Your debts'!$F$15),W58,0)+IF(AND('Your debts'!$F$10&lt;&gt;"",'Your debts'!$F$15&lt;&gt;"",'Your debts'!$F$10&lt;'Your debts'!$F$15),AB58,0)+IF(AND('Your debts'!$F$11&lt;&gt;"",'Your debts'!$F$15&lt;&gt;"",'Your debts'!$F$11&lt;'Your debts'!$F$15),AG58,0)+IF(AND('Your debts'!$F$12&lt;&gt;"",'Your debts'!$F$15&lt;&gt;"",'Your debts'!$F$12&lt;'Your debts'!$F$15),AL58,0)+IF(AND('Your debts'!$F$13&lt;&gt;"",'Your debts'!$F$15&lt;&gt;"",'Your debts'!$F$13&lt;'Your debts'!$F$15),AQ58,0)+IF(AND('Your debts'!$F$14&lt;&gt;"",'Your debts'!$F$15&lt;&gt;"",'Your debts'!$F$14&lt;'Your debts'!$F$15),AV58,0)))))</f>
        <v/>
      </c>
      <c r="BC58" s="33">
        <f>BA58-BB58</f>
        <v/>
      </c>
    </row>
    <row r="59">
      <c r="A59" s="30" t="n">
        <v>44</v>
      </c>
      <c r="B59" s="31">
        <f>EDATE($B$15,44)</f>
        <v/>
      </c>
      <c r="C59" s="32">
        <f>IF(J58&lt;=0,0,F59-J58)+IF(O58&lt;=0,0,K59-O58)+IF(T58&lt;=0,0,P59-T58)+IF(Y58&lt;=0,0,U59-Y58)+IF(AD58&lt;=0,0,Z59-AD58)+IF(AI58&lt;=0,0,AE59-AI58)+IF(AN58&lt;=0,0,AJ59-AN58)+IF(AS58&lt;=0,0,AO59-AS58)+IF(AX58&lt;=0,0,AT59-AX58)+IF(BC58&lt;=0,0,AY59-BC58)</f>
        <v/>
      </c>
      <c r="D59" s="32">
        <f>G59+I59+L59+N59+Q59+S59+V59+X59+AA59+AC59+AF59+AH59+AK59+AM59+AP59+AR59+AU59+AW59+AZ59+BB59</f>
        <v/>
      </c>
      <c r="E59" s="32">
        <f>J59+O59+T59+Y59+AD59+AI59+AN59+AS59+AX59+BC59</f>
        <v/>
      </c>
      <c r="F59" s="33">
        <f>IF(J58&lt;=0,0,ROUND(J58*(1+'Your debts'!$D$6/1200),2))</f>
        <v/>
      </c>
      <c r="G59" s="33">
        <f>IF(F59&lt;=0,0,MIN('Your debts'!$E$6,F59))</f>
        <v/>
      </c>
      <c r="H59" s="33">
        <f>F59-G59</f>
        <v/>
      </c>
      <c r="I59" s="33">
        <f>IF('Your debts'!$F$6="",0,MIN(H59,MAX(0,MAX(0,'Your debts'!$C$19-(G59+L59+Q59+V59+AA59+AF59+AK59+AP59+AU59+AZ59))-(IF(AND('Your debts'!$F$7&lt;&gt;"",'Your debts'!$F$6&lt;&gt;"",'Your debts'!$F$7&lt;'Your debts'!$F$6),M59,0)+IF(AND('Your debts'!$F$8&lt;&gt;"",'Your debts'!$F$6&lt;&gt;"",'Your debts'!$F$8&lt;'Your debts'!$F$6),R59,0)+IF(AND('Your debts'!$F$9&lt;&gt;"",'Your debts'!$F$6&lt;&gt;"",'Your debts'!$F$9&lt;'Your debts'!$F$6),W59,0)+IF(AND('Your debts'!$F$10&lt;&gt;"",'Your debts'!$F$6&lt;&gt;"",'Your debts'!$F$10&lt;'Your debts'!$F$6),AB59,0)+IF(AND('Your debts'!$F$11&lt;&gt;"",'Your debts'!$F$6&lt;&gt;"",'Your debts'!$F$11&lt;'Your debts'!$F$6),AG59,0)+IF(AND('Your debts'!$F$12&lt;&gt;"",'Your debts'!$F$6&lt;&gt;"",'Your debts'!$F$12&lt;'Your debts'!$F$6),AL59,0)+IF(AND('Your debts'!$F$13&lt;&gt;"",'Your debts'!$F$6&lt;&gt;"",'Your debts'!$F$13&lt;'Your debts'!$F$6),AQ59,0)+IF(AND('Your debts'!$F$14&lt;&gt;"",'Your debts'!$F$6&lt;&gt;"",'Your debts'!$F$14&lt;'Your debts'!$F$6),AV59,0)+IF(AND('Your debts'!$F$15&lt;&gt;"",'Your debts'!$F$6&lt;&gt;"",'Your debts'!$F$15&lt;'Your debts'!$F$6),BA59,0)))))</f>
        <v/>
      </c>
      <c r="J59" s="33">
        <f>H59-I59</f>
        <v/>
      </c>
      <c r="K59" s="33">
        <f>IF(O58&lt;=0,0,ROUND(O58*(1+'Your debts'!$D$7/1200),2))</f>
        <v/>
      </c>
      <c r="L59" s="33">
        <f>IF(K59&lt;=0,0,MIN('Your debts'!$E$7,K59))</f>
        <v/>
      </c>
      <c r="M59" s="33">
        <f>K59-L59</f>
        <v/>
      </c>
      <c r="N59" s="33">
        <f>IF('Your debts'!$F$7="",0,MIN(M59,MAX(0,MAX(0,'Your debts'!$C$19-(G59+L59+Q59+V59+AA59+AF59+AK59+AP59+AU59+AZ59))-(IF(AND('Your debts'!$F$6&lt;&gt;"",'Your debts'!$F$7&lt;&gt;"",'Your debts'!$F$6&lt;'Your debts'!$F$7),H59,0)+IF(AND('Your debts'!$F$8&lt;&gt;"",'Your debts'!$F$7&lt;&gt;"",'Your debts'!$F$8&lt;'Your debts'!$F$7),R59,0)+IF(AND('Your debts'!$F$9&lt;&gt;"",'Your debts'!$F$7&lt;&gt;"",'Your debts'!$F$9&lt;'Your debts'!$F$7),W59,0)+IF(AND('Your debts'!$F$10&lt;&gt;"",'Your debts'!$F$7&lt;&gt;"",'Your debts'!$F$10&lt;'Your debts'!$F$7),AB59,0)+IF(AND('Your debts'!$F$11&lt;&gt;"",'Your debts'!$F$7&lt;&gt;"",'Your debts'!$F$11&lt;'Your debts'!$F$7),AG59,0)+IF(AND('Your debts'!$F$12&lt;&gt;"",'Your debts'!$F$7&lt;&gt;"",'Your debts'!$F$12&lt;'Your debts'!$F$7),AL59,0)+IF(AND('Your debts'!$F$13&lt;&gt;"",'Your debts'!$F$7&lt;&gt;"",'Your debts'!$F$13&lt;'Your debts'!$F$7),AQ59,0)+IF(AND('Your debts'!$F$14&lt;&gt;"",'Your debts'!$F$7&lt;&gt;"",'Your debts'!$F$14&lt;'Your debts'!$F$7),AV59,0)+IF(AND('Your debts'!$F$15&lt;&gt;"",'Your debts'!$F$7&lt;&gt;"",'Your debts'!$F$15&lt;'Your debts'!$F$7),BA59,0)))))</f>
        <v/>
      </c>
      <c r="O59" s="33">
        <f>M59-N59</f>
        <v/>
      </c>
      <c r="P59" s="33">
        <f>IF(T58&lt;=0,0,ROUND(T58*(1+'Your debts'!$D$8/1200),2))</f>
        <v/>
      </c>
      <c r="Q59" s="33">
        <f>IF(P59&lt;=0,0,MIN('Your debts'!$E$8,P59))</f>
        <v/>
      </c>
      <c r="R59" s="33">
        <f>P59-Q59</f>
        <v/>
      </c>
      <c r="S59" s="33">
        <f>IF('Your debts'!$F$8="",0,MIN(R59,MAX(0,MAX(0,'Your debts'!$C$19-(G59+L59+Q59+V59+AA59+AF59+AK59+AP59+AU59+AZ59))-(IF(AND('Your debts'!$F$6&lt;&gt;"",'Your debts'!$F$8&lt;&gt;"",'Your debts'!$F$6&lt;'Your debts'!$F$8),H59,0)+IF(AND('Your debts'!$F$7&lt;&gt;"",'Your debts'!$F$8&lt;&gt;"",'Your debts'!$F$7&lt;'Your debts'!$F$8),M59,0)+IF(AND('Your debts'!$F$9&lt;&gt;"",'Your debts'!$F$8&lt;&gt;"",'Your debts'!$F$9&lt;'Your debts'!$F$8),W59,0)+IF(AND('Your debts'!$F$10&lt;&gt;"",'Your debts'!$F$8&lt;&gt;"",'Your debts'!$F$10&lt;'Your debts'!$F$8),AB59,0)+IF(AND('Your debts'!$F$11&lt;&gt;"",'Your debts'!$F$8&lt;&gt;"",'Your debts'!$F$11&lt;'Your debts'!$F$8),AG59,0)+IF(AND('Your debts'!$F$12&lt;&gt;"",'Your debts'!$F$8&lt;&gt;"",'Your debts'!$F$12&lt;'Your debts'!$F$8),AL59,0)+IF(AND('Your debts'!$F$13&lt;&gt;"",'Your debts'!$F$8&lt;&gt;"",'Your debts'!$F$13&lt;'Your debts'!$F$8),AQ59,0)+IF(AND('Your debts'!$F$14&lt;&gt;"",'Your debts'!$F$8&lt;&gt;"",'Your debts'!$F$14&lt;'Your debts'!$F$8),AV59,0)+IF(AND('Your debts'!$F$15&lt;&gt;"",'Your debts'!$F$8&lt;&gt;"",'Your debts'!$F$15&lt;'Your debts'!$F$8),BA59,0)))))</f>
        <v/>
      </c>
      <c r="T59" s="33">
        <f>R59-S59</f>
        <v/>
      </c>
      <c r="U59" s="33">
        <f>IF(Y58&lt;=0,0,ROUND(Y58*(1+'Your debts'!$D$9/1200),2))</f>
        <v/>
      </c>
      <c r="V59" s="33">
        <f>IF(U59&lt;=0,0,MIN('Your debts'!$E$9,U59))</f>
        <v/>
      </c>
      <c r="W59" s="33">
        <f>U59-V59</f>
        <v/>
      </c>
      <c r="X59" s="33">
        <f>IF('Your debts'!$F$9="",0,MIN(W59,MAX(0,MAX(0,'Your debts'!$C$19-(G59+L59+Q59+V59+AA59+AF59+AK59+AP59+AU59+AZ59))-(IF(AND('Your debts'!$F$6&lt;&gt;"",'Your debts'!$F$9&lt;&gt;"",'Your debts'!$F$6&lt;'Your debts'!$F$9),H59,0)+IF(AND('Your debts'!$F$7&lt;&gt;"",'Your debts'!$F$9&lt;&gt;"",'Your debts'!$F$7&lt;'Your debts'!$F$9),M59,0)+IF(AND('Your debts'!$F$8&lt;&gt;"",'Your debts'!$F$9&lt;&gt;"",'Your debts'!$F$8&lt;'Your debts'!$F$9),R59,0)+IF(AND('Your debts'!$F$10&lt;&gt;"",'Your debts'!$F$9&lt;&gt;"",'Your debts'!$F$10&lt;'Your debts'!$F$9),AB59,0)+IF(AND('Your debts'!$F$11&lt;&gt;"",'Your debts'!$F$9&lt;&gt;"",'Your debts'!$F$11&lt;'Your debts'!$F$9),AG59,0)+IF(AND('Your debts'!$F$12&lt;&gt;"",'Your debts'!$F$9&lt;&gt;"",'Your debts'!$F$12&lt;'Your debts'!$F$9),AL59,0)+IF(AND('Your debts'!$F$13&lt;&gt;"",'Your debts'!$F$9&lt;&gt;"",'Your debts'!$F$13&lt;'Your debts'!$F$9),AQ59,0)+IF(AND('Your debts'!$F$14&lt;&gt;"",'Your debts'!$F$9&lt;&gt;"",'Your debts'!$F$14&lt;'Your debts'!$F$9),AV59,0)+IF(AND('Your debts'!$F$15&lt;&gt;"",'Your debts'!$F$9&lt;&gt;"",'Your debts'!$F$15&lt;'Your debts'!$F$9),BA59,0)))))</f>
        <v/>
      </c>
      <c r="Y59" s="33">
        <f>W59-X59</f>
        <v/>
      </c>
      <c r="Z59" s="33">
        <f>IF(AD58&lt;=0,0,ROUND(AD58*(1+'Your debts'!$D$10/1200),2))</f>
        <v/>
      </c>
      <c r="AA59" s="33">
        <f>IF(Z59&lt;=0,0,MIN('Your debts'!$E$10,Z59))</f>
        <v/>
      </c>
      <c r="AB59" s="33">
        <f>Z59-AA59</f>
        <v/>
      </c>
      <c r="AC59" s="33">
        <f>IF('Your debts'!$F$10="",0,MIN(AB59,MAX(0,MAX(0,'Your debts'!$C$19-(G59+L59+Q59+V59+AA59+AF59+AK59+AP59+AU59+AZ59))-(IF(AND('Your debts'!$F$6&lt;&gt;"",'Your debts'!$F$10&lt;&gt;"",'Your debts'!$F$6&lt;'Your debts'!$F$10),H59,0)+IF(AND('Your debts'!$F$7&lt;&gt;"",'Your debts'!$F$10&lt;&gt;"",'Your debts'!$F$7&lt;'Your debts'!$F$10),M59,0)+IF(AND('Your debts'!$F$8&lt;&gt;"",'Your debts'!$F$10&lt;&gt;"",'Your debts'!$F$8&lt;'Your debts'!$F$10),R59,0)+IF(AND('Your debts'!$F$9&lt;&gt;"",'Your debts'!$F$10&lt;&gt;"",'Your debts'!$F$9&lt;'Your debts'!$F$10),W59,0)+IF(AND('Your debts'!$F$11&lt;&gt;"",'Your debts'!$F$10&lt;&gt;"",'Your debts'!$F$11&lt;'Your debts'!$F$10),AG59,0)+IF(AND('Your debts'!$F$12&lt;&gt;"",'Your debts'!$F$10&lt;&gt;"",'Your debts'!$F$12&lt;'Your debts'!$F$10),AL59,0)+IF(AND('Your debts'!$F$13&lt;&gt;"",'Your debts'!$F$10&lt;&gt;"",'Your debts'!$F$13&lt;'Your debts'!$F$10),AQ59,0)+IF(AND('Your debts'!$F$14&lt;&gt;"",'Your debts'!$F$10&lt;&gt;"",'Your debts'!$F$14&lt;'Your debts'!$F$10),AV59,0)+IF(AND('Your debts'!$F$15&lt;&gt;"",'Your debts'!$F$10&lt;&gt;"",'Your debts'!$F$15&lt;'Your debts'!$F$10),BA59,0)))))</f>
        <v/>
      </c>
      <c r="AD59" s="33">
        <f>AB59-AC59</f>
        <v/>
      </c>
      <c r="AE59" s="33">
        <f>IF(AI58&lt;=0,0,ROUND(AI58*(1+'Your debts'!$D$11/1200),2))</f>
        <v/>
      </c>
      <c r="AF59" s="33">
        <f>IF(AE59&lt;=0,0,MIN('Your debts'!$E$11,AE59))</f>
        <v/>
      </c>
      <c r="AG59" s="33">
        <f>AE59-AF59</f>
        <v/>
      </c>
      <c r="AH59" s="33">
        <f>IF('Your debts'!$F$11="",0,MIN(AG59,MAX(0,MAX(0,'Your debts'!$C$19-(G59+L59+Q59+V59+AA59+AF59+AK59+AP59+AU59+AZ59))-(IF(AND('Your debts'!$F$6&lt;&gt;"",'Your debts'!$F$11&lt;&gt;"",'Your debts'!$F$6&lt;'Your debts'!$F$11),H59,0)+IF(AND('Your debts'!$F$7&lt;&gt;"",'Your debts'!$F$11&lt;&gt;"",'Your debts'!$F$7&lt;'Your debts'!$F$11),M59,0)+IF(AND('Your debts'!$F$8&lt;&gt;"",'Your debts'!$F$11&lt;&gt;"",'Your debts'!$F$8&lt;'Your debts'!$F$11),R59,0)+IF(AND('Your debts'!$F$9&lt;&gt;"",'Your debts'!$F$11&lt;&gt;"",'Your debts'!$F$9&lt;'Your debts'!$F$11),W59,0)+IF(AND('Your debts'!$F$10&lt;&gt;"",'Your debts'!$F$11&lt;&gt;"",'Your debts'!$F$10&lt;'Your debts'!$F$11),AB59,0)+IF(AND('Your debts'!$F$12&lt;&gt;"",'Your debts'!$F$11&lt;&gt;"",'Your debts'!$F$12&lt;'Your debts'!$F$11),AL59,0)+IF(AND('Your debts'!$F$13&lt;&gt;"",'Your debts'!$F$11&lt;&gt;"",'Your debts'!$F$13&lt;'Your debts'!$F$11),AQ59,0)+IF(AND('Your debts'!$F$14&lt;&gt;"",'Your debts'!$F$11&lt;&gt;"",'Your debts'!$F$14&lt;'Your debts'!$F$11),AV59,0)+IF(AND('Your debts'!$F$15&lt;&gt;"",'Your debts'!$F$11&lt;&gt;"",'Your debts'!$F$15&lt;'Your debts'!$F$11),BA59,0)))))</f>
        <v/>
      </c>
      <c r="AI59" s="33">
        <f>AG59-AH59</f>
        <v/>
      </c>
      <c r="AJ59" s="33">
        <f>IF(AN58&lt;=0,0,ROUND(AN58*(1+'Your debts'!$D$12/1200),2))</f>
        <v/>
      </c>
      <c r="AK59" s="33">
        <f>IF(AJ59&lt;=0,0,MIN('Your debts'!$E$12,AJ59))</f>
        <v/>
      </c>
      <c r="AL59" s="33">
        <f>AJ59-AK59</f>
        <v/>
      </c>
      <c r="AM59" s="33">
        <f>IF('Your debts'!$F$12="",0,MIN(AL59,MAX(0,MAX(0,'Your debts'!$C$19-(G59+L59+Q59+V59+AA59+AF59+AK59+AP59+AU59+AZ59))-(IF(AND('Your debts'!$F$6&lt;&gt;"",'Your debts'!$F$12&lt;&gt;"",'Your debts'!$F$6&lt;'Your debts'!$F$12),H59,0)+IF(AND('Your debts'!$F$7&lt;&gt;"",'Your debts'!$F$12&lt;&gt;"",'Your debts'!$F$7&lt;'Your debts'!$F$12),M59,0)+IF(AND('Your debts'!$F$8&lt;&gt;"",'Your debts'!$F$12&lt;&gt;"",'Your debts'!$F$8&lt;'Your debts'!$F$12),R59,0)+IF(AND('Your debts'!$F$9&lt;&gt;"",'Your debts'!$F$12&lt;&gt;"",'Your debts'!$F$9&lt;'Your debts'!$F$12),W59,0)+IF(AND('Your debts'!$F$10&lt;&gt;"",'Your debts'!$F$12&lt;&gt;"",'Your debts'!$F$10&lt;'Your debts'!$F$12),AB59,0)+IF(AND('Your debts'!$F$11&lt;&gt;"",'Your debts'!$F$12&lt;&gt;"",'Your debts'!$F$11&lt;'Your debts'!$F$12),AG59,0)+IF(AND('Your debts'!$F$13&lt;&gt;"",'Your debts'!$F$12&lt;&gt;"",'Your debts'!$F$13&lt;'Your debts'!$F$12),AQ59,0)+IF(AND('Your debts'!$F$14&lt;&gt;"",'Your debts'!$F$12&lt;&gt;"",'Your debts'!$F$14&lt;'Your debts'!$F$12),AV59,0)+IF(AND('Your debts'!$F$15&lt;&gt;"",'Your debts'!$F$12&lt;&gt;"",'Your debts'!$F$15&lt;'Your debts'!$F$12),BA59,0)))))</f>
        <v/>
      </c>
      <c r="AN59" s="33">
        <f>AL59-AM59</f>
        <v/>
      </c>
      <c r="AO59" s="33">
        <f>IF(AS58&lt;=0,0,ROUND(AS58*(1+'Your debts'!$D$13/1200),2))</f>
        <v/>
      </c>
      <c r="AP59" s="33">
        <f>IF(AO59&lt;=0,0,MIN('Your debts'!$E$13,AO59))</f>
        <v/>
      </c>
      <c r="AQ59" s="33">
        <f>AO59-AP59</f>
        <v/>
      </c>
      <c r="AR59" s="33">
        <f>IF('Your debts'!$F$13="",0,MIN(AQ59,MAX(0,MAX(0,'Your debts'!$C$19-(G59+L59+Q59+V59+AA59+AF59+AK59+AP59+AU59+AZ59))-(IF(AND('Your debts'!$F$6&lt;&gt;"",'Your debts'!$F$13&lt;&gt;"",'Your debts'!$F$6&lt;'Your debts'!$F$13),H59,0)+IF(AND('Your debts'!$F$7&lt;&gt;"",'Your debts'!$F$13&lt;&gt;"",'Your debts'!$F$7&lt;'Your debts'!$F$13),M59,0)+IF(AND('Your debts'!$F$8&lt;&gt;"",'Your debts'!$F$13&lt;&gt;"",'Your debts'!$F$8&lt;'Your debts'!$F$13),R59,0)+IF(AND('Your debts'!$F$9&lt;&gt;"",'Your debts'!$F$13&lt;&gt;"",'Your debts'!$F$9&lt;'Your debts'!$F$13),W59,0)+IF(AND('Your debts'!$F$10&lt;&gt;"",'Your debts'!$F$13&lt;&gt;"",'Your debts'!$F$10&lt;'Your debts'!$F$13),AB59,0)+IF(AND('Your debts'!$F$11&lt;&gt;"",'Your debts'!$F$13&lt;&gt;"",'Your debts'!$F$11&lt;'Your debts'!$F$13),AG59,0)+IF(AND('Your debts'!$F$12&lt;&gt;"",'Your debts'!$F$13&lt;&gt;"",'Your debts'!$F$12&lt;'Your debts'!$F$13),AL59,0)+IF(AND('Your debts'!$F$14&lt;&gt;"",'Your debts'!$F$13&lt;&gt;"",'Your debts'!$F$14&lt;'Your debts'!$F$13),AV59,0)+IF(AND('Your debts'!$F$15&lt;&gt;"",'Your debts'!$F$13&lt;&gt;"",'Your debts'!$F$15&lt;'Your debts'!$F$13),BA59,0)))))</f>
        <v/>
      </c>
      <c r="AS59" s="33">
        <f>AQ59-AR59</f>
        <v/>
      </c>
      <c r="AT59" s="33">
        <f>IF(AX58&lt;=0,0,ROUND(AX58*(1+'Your debts'!$D$14/1200),2))</f>
        <v/>
      </c>
      <c r="AU59" s="33">
        <f>IF(AT59&lt;=0,0,MIN('Your debts'!$E$14,AT59))</f>
        <v/>
      </c>
      <c r="AV59" s="33">
        <f>AT59-AU59</f>
        <v/>
      </c>
      <c r="AW59" s="33">
        <f>IF('Your debts'!$F$14="",0,MIN(AV59,MAX(0,MAX(0,'Your debts'!$C$19-(G59+L59+Q59+V59+AA59+AF59+AK59+AP59+AU59+AZ59))-(IF(AND('Your debts'!$F$6&lt;&gt;"",'Your debts'!$F$14&lt;&gt;"",'Your debts'!$F$6&lt;'Your debts'!$F$14),H59,0)+IF(AND('Your debts'!$F$7&lt;&gt;"",'Your debts'!$F$14&lt;&gt;"",'Your debts'!$F$7&lt;'Your debts'!$F$14),M59,0)+IF(AND('Your debts'!$F$8&lt;&gt;"",'Your debts'!$F$14&lt;&gt;"",'Your debts'!$F$8&lt;'Your debts'!$F$14),R59,0)+IF(AND('Your debts'!$F$9&lt;&gt;"",'Your debts'!$F$14&lt;&gt;"",'Your debts'!$F$9&lt;'Your debts'!$F$14),W59,0)+IF(AND('Your debts'!$F$10&lt;&gt;"",'Your debts'!$F$14&lt;&gt;"",'Your debts'!$F$10&lt;'Your debts'!$F$14),AB59,0)+IF(AND('Your debts'!$F$11&lt;&gt;"",'Your debts'!$F$14&lt;&gt;"",'Your debts'!$F$11&lt;'Your debts'!$F$14),AG59,0)+IF(AND('Your debts'!$F$12&lt;&gt;"",'Your debts'!$F$14&lt;&gt;"",'Your debts'!$F$12&lt;'Your debts'!$F$14),AL59,0)+IF(AND('Your debts'!$F$13&lt;&gt;"",'Your debts'!$F$14&lt;&gt;"",'Your debts'!$F$13&lt;'Your debts'!$F$14),AQ59,0)+IF(AND('Your debts'!$F$15&lt;&gt;"",'Your debts'!$F$14&lt;&gt;"",'Your debts'!$F$15&lt;'Your debts'!$F$14),BA59,0)))))</f>
        <v/>
      </c>
      <c r="AX59" s="33">
        <f>AV59-AW59</f>
        <v/>
      </c>
      <c r="AY59" s="33">
        <f>IF(BC58&lt;=0,0,ROUND(BC58*(1+'Your debts'!$D$15/1200),2))</f>
        <v/>
      </c>
      <c r="AZ59" s="33">
        <f>IF(AY59&lt;=0,0,MIN('Your debts'!$E$15,AY59))</f>
        <v/>
      </c>
      <c r="BA59" s="33">
        <f>AY59-AZ59</f>
        <v/>
      </c>
      <c r="BB59" s="33">
        <f>IF('Your debts'!$F$15="",0,MIN(BA59,MAX(0,MAX(0,'Your debts'!$C$19-(G59+L59+Q59+V59+AA59+AF59+AK59+AP59+AU59+AZ59))-(IF(AND('Your debts'!$F$6&lt;&gt;"",'Your debts'!$F$15&lt;&gt;"",'Your debts'!$F$6&lt;'Your debts'!$F$15),H59,0)+IF(AND('Your debts'!$F$7&lt;&gt;"",'Your debts'!$F$15&lt;&gt;"",'Your debts'!$F$7&lt;'Your debts'!$F$15),M59,0)+IF(AND('Your debts'!$F$8&lt;&gt;"",'Your debts'!$F$15&lt;&gt;"",'Your debts'!$F$8&lt;'Your debts'!$F$15),R59,0)+IF(AND('Your debts'!$F$9&lt;&gt;"",'Your debts'!$F$15&lt;&gt;"",'Your debts'!$F$9&lt;'Your debts'!$F$15),W59,0)+IF(AND('Your debts'!$F$10&lt;&gt;"",'Your debts'!$F$15&lt;&gt;"",'Your debts'!$F$10&lt;'Your debts'!$F$15),AB59,0)+IF(AND('Your debts'!$F$11&lt;&gt;"",'Your debts'!$F$15&lt;&gt;"",'Your debts'!$F$11&lt;'Your debts'!$F$15),AG59,0)+IF(AND('Your debts'!$F$12&lt;&gt;"",'Your debts'!$F$15&lt;&gt;"",'Your debts'!$F$12&lt;'Your debts'!$F$15),AL59,0)+IF(AND('Your debts'!$F$13&lt;&gt;"",'Your debts'!$F$15&lt;&gt;"",'Your debts'!$F$13&lt;'Your debts'!$F$15),AQ59,0)+IF(AND('Your debts'!$F$14&lt;&gt;"",'Your debts'!$F$15&lt;&gt;"",'Your debts'!$F$14&lt;'Your debts'!$F$15),AV59,0)))))</f>
        <v/>
      </c>
      <c r="BC59" s="33">
        <f>BA59-BB59</f>
        <v/>
      </c>
    </row>
    <row r="60">
      <c r="A60" s="30" t="n">
        <v>45</v>
      </c>
      <c r="B60" s="31">
        <f>EDATE($B$15,45)</f>
        <v/>
      </c>
      <c r="C60" s="32">
        <f>IF(J59&lt;=0,0,F60-J59)+IF(O59&lt;=0,0,K60-O59)+IF(T59&lt;=0,0,P60-T59)+IF(Y59&lt;=0,0,U60-Y59)+IF(AD59&lt;=0,0,Z60-AD59)+IF(AI59&lt;=0,0,AE60-AI59)+IF(AN59&lt;=0,0,AJ60-AN59)+IF(AS59&lt;=0,0,AO60-AS59)+IF(AX59&lt;=0,0,AT60-AX59)+IF(BC59&lt;=0,0,AY60-BC59)</f>
        <v/>
      </c>
      <c r="D60" s="32">
        <f>G60+I60+L60+N60+Q60+S60+V60+X60+AA60+AC60+AF60+AH60+AK60+AM60+AP60+AR60+AU60+AW60+AZ60+BB60</f>
        <v/>
      </c>
      <c r="E60" s="32">
        <f>J60+O60+T60+Y60+AD60+AI60+AN60+AS60+AX60+BC60</f>
        <v/>
      </c>
      <c r="F60" s="33">
        <f>IF(J59&lt;=0,0,ROUND(J59*(1+'Your debts'!$D$6/1200),2))</f>
        <v/>
      </c>
      <c r="G60" s="33">
        <f>IF(F60&lt;=0,0,MIN('Your debts'!$E$6,F60))</f>
        <v/>
      </c>
      <c r="H60" s="33">
        <f>F60-G60</f>
        <v/>
      </c>
      <c r="I60" s="33">
        <f>IF('Your debts'!$F$6="",0,MIN(H60,MAX(0,MAX(0,'Your debts'!$C$19-(G60+L60+Q60+V60+AA60+AF60+AK60+AP60+AU60+AZ60))-(IF(AND('Your debts'!$F$7&lt;&gt;"",'Your debts'!$F$6&lt;&gt;"",'Your debts'!$F$7&lt;'Your debts'!$F$6),M60,0)+IF(AND('Your debts'!$F$8&lt;&gt;"",'Your debts'!$F$6&lt;&gt;"",'Your debts'!$F$8&lt;'Your debts'!$F$6),R60,0)+IF(AND('Your debts'!$F$9&lt;&gt;"",'Your debts'!$F$6&lt;&gt;"",'Your debts'!$F$9&lt;'Your debts'!$F$6),W60,0)+IF(AND('Your debts'!$F$10&lt;&gt;"",'Your debts'!$F$6&lt;&gt;"",'Your debts'!$F$10&lt;'Your debts'!$F$6),AB60,0)+IF(AND('Your debts'!$F$11&lt;&gt;"",'Your debts'!$F$6&lt;&gt;"",'Your debts'!$F$11&lt;'Your debts'!$F$6),AG60,0)+IF(AND('Your debts'!$F$12&lt;&gt;"",'Your debts'!$F$6&lt;&gt;"",'Your debts'!$F$12&lt;'Your debts'!$F$6),AL60,0)+IF(AND('Your debts'!$F$13&lt;&gt;"",'Your debts'!$F$6&lt;&gt;"",'Your debts'!$F$13&lt;'Your debts'!$F$6),AQ60,0)+IF(AND('Your debts'!$F$14&lt;&gt;"",'Your debts'!$F$6&lt;&gt;"",'Your debts'!$F$14&lt;'Your debts'!$F$6),AV60,0)+IF(AND('Your debts'!$F$15&lt;&gt;"",'Your debts'!$F$6&lt;&gt;"",'Your debts'!$F$15&lt;'Your debts'!$F$6),BA60,0)))))</f>
        <v/>
      </c>
      <c r="J60" s="33">
        <f>H60-I60</f>
        <v/>
      </c>
      <c r="K60" s="33">
        <f>IF(O59&lt;=0,0,ROUND(O59*(1+'Your debts'!$D$7/1200),2))</f>
        <v/>
      </c>
      <c r="L60" s="33">
        <f>IF(K60&lt;=0,0,MIN('Your debts'!$E$7,K60))</f>
        <v/>
      </c>
      <c r="M60" s="33">
        <f>K60-L60</f>
        <v/>
      </c>
      <c r="N60" s="33">
        <f>IF('Your debts'!$F$7="",0,MIN(M60,MAX(0,MAX(0,'Your debts'!$C$19-(G60+L60+Q60+V60+AA60+AF60+AK60+AP60+AU60+AZ60))-(IF(AND('Your debts'!$F$6&lt;&gt;"",'Your debts'!$F$7&lt;&gt;"",'Your debts'!$F$6&lt;'Your debts'!$F$7),H60,0)+IF(AND('Your debts'!$F$8&lt;&gt;"",'Your debts'!$F$7&lt;&gt;"",'Your debts'!$F$8&lt;'Your debts'!$F$7),R60,0)+IF(AND('Your debts'!$F$9&lt;&gt;"",'Your debts'!$F$7&lt;&gt;"",'Your debts'!$F$9&lt;'Your debts'!$F$7),W60,0)+IF(AND('Your debts'!$F$10&lt;&gt;"",'Your debts'!$F$7&lt;&gt;"",'Your debts'!$F$10&lt;'Your debts'!$F$7),AB60,0)+IF(AND('Your debts'!$F$11&lt;&gt;"",'Your debts'!$F$7&lt;&gt;"",'Your debts'!$F$11&lt;'Your debts'!$F$7),AG60,0)+IF(AND('Your debts'!$F$12&lt;&gt;"",'Your debts'!$F$7&lt;&gt;"",'Your debts'!$F$12&lt;'Your debts'!$F$7),AL60,0)+IF(AND('Your debts'!$F$13&lt;&gt;"",'Your debts'!$F$7&lt;&gt;"",'Your debts'!$F$13&lt;'Your debts'!$F$7),AQ60,0)+IF(AND('Your debts'!$F$14&lt;&gt;"",'Your debts'!$F$7&lt;&gt;"",'Your debts'!$F$14&lt;'Your debts'!$F$7),AV60,0)+IF(AND('Your debts'!$F$15&lt;&gt;"",'Your debts'!$F$7&lt;&gt;"",'Your debts'!$F$15&lt;'Your debts'!$F$7),BA60,0)))))</f>
        <v/>
      </c>
      <c r="O60" s="33">
        <f>M60-N60</f>
        <v/>
      </c>
      <c r="P60" s="33">
        <f>IF(T59&lt;=0,0,ROUND(T59*(1+'Your debts'!$D$8/1200),2))</f>
        <v/>
      </c>
      <c r="Q60" s="33">
        <f>IF(P60&lt;=0,0,MIN('Your debts'!$E$8,P60))</f>
        <v/>
      </c>
      <c r="R60" s="33">
        <f>P60-Q60</f>
        <v/>
      </c>
      <c r="S60" s="33">
        <f>IF('Your debts'!$F$8="",0,MIN(R60,MAX(0,MAX(0,'Your debts'!$C$19-(G60+L60+Q60+V60+AA60+AF60+AK60+AP60+AU60+AZ60))-(IF(AND('Your debts'!$F$6&lt;&gt;"",'Your debts'!$F$8&lt;&gt;"",'Your debts'!$F$6&lt;'Your debts'!$F$8),H60,0)+IF(AND('Your debts'!$F$7&lt;&gt;"",'Your debts'!$F$8&lt;&gt;"",'Your debts'!$F$7&lt;'Your debts'!$F$8),M60,0)+IF(AND('Your debts'!$F$9&lt;&gt;"",'Your debts'!$F$8&lt;&gt;"",'Your debts'!$F$9&lt;'Your debts'!$F$8),W60,0)+IF(AND('Your debts'!$F$10&lt;&gt;"",'Your debts'!$F$8&lt;&gt;"",'Your debts'!$F$10&lt;'Your debts'!$F$8),AB60,0)+IF(AND('Your debts'!$F$11&lt;&gt;"",'Your debts'!$F$8&lt;&gt;"",'Your debts'!$F$11&lt;'Your debts'!$F$8),AG60,0)+IF(AND('Your debts'!$F$12&lt;&gt;"",'Your debts'!$F$8&lt;&gt;"",'Your debts'!$F$12&lt;'Your debts'!$F$8),AL60,0)+IF(AND('Your debts'!$F$13&lt;&gt;"",'Your debts'!$F$8&lt;&gt;"",'Your debts'!$F$13&lt;'Your debts'!$F$8),AQ60,0)+IF(AND('Your debts'!$F$14&lt;&gt;"",'Your debts'!$F$8&lt;&gt;"",'Your debts'!$F$14&lt;'Your debts'!$F$8),AV60,0)+IF(AND('Your debts'!$F$15&lt;&gt;"",'Your debts'!$F$8&lt;&gt;"",'Your debts'!$F$15&lt;'Your debts'!$F$8),BA60,0)))))</f>
        <v/>
      </c>
      <c r="T60" s="33">
        <f>R60-S60</f>
        <v/>
      </c>
      <c r="U60" s="33">
        <f>IF(Y59&lt;=0,0,ROUND(Y59*(1+'Your debts'!$D$9/1200),2))</f>
        <v/>
      </c>
      <c r="V60" s="33">
        <f>IF(U60&lt;=0,0,MIN('Your debts'!$E$9,U60))</f>
        <v/>
      </c>
      <c r="W60" s="33">
        <f>U60-V60</f>
        <v/>
      </c>
      <c r="X60" s="33">
        <f>IF('Your debts'!$F$9="",0,MIN(W60,MAX(0,MAX(0,'Your debts'!$C$19-(G60+L60+Q60+V60+AA60+AF60+AK60+AP60+AU60+AZ60))-(IF(AND('Your debts'!$F$6&lt;&gt;"",'Your debts'!$F$9&lt;&gt;"",'Your debts'!$F$6&lt;'Your debts'!$F$9),H60,0)+IF(AND('Your debts'!$F$7&lt;&gt;"",'Your debts'!$F$9&lt;&gt;"",'Your debts'!$F$7&lt;'Your debts'!$F$9),M60,0)+IF(AND('Your debts'!$F$8&lt;&gt;"",'Your debts'!$F$9&lt;&gt;"",'Your debts'!$F$8&lt;'Your debts'!$F$9),R60,0)+IF(AND('Your debts'!$F$10&lt;&gt;"",'Your debts'!$F$9&lt;&gt;"",'Your debts'!$F$10&lt;'Your debts'!$F$9),AB60,0)+IF(AND('Your debts'!$F$11&lt;&gt;"",'Your debts'!$F$9&lt;&gt;"",'Your debts'!$F$11&lt;'Your debts'!$F$9),AG60,0)+IF(AND('Your debts'!$F$12&lt;&gt;"",'Your debts'!$F$9&lt;&gt;"",'Your debts'!$F$12&lt;'Your debts'!$F$9),AL60,0)+IF(AND('Your debts'!$F$13&lt;&gt;"",'Your debts'!$F$9&lt;&gt;"",'Your debts'!$F$13&lt;'Your debts'!$F$9),AQ60,0)+IF(AND('Your debts'!$F$14&lt;&gt;"",'Your debts'!$F$9&lt;&gt;"",'Your debts'!$F$14&lt;'Your debts'!$F$9),AV60,0)+IF(AND('Your debts'!$F$15&lt;&gt;"",'Your debts'!$F$9&lt;&gt;"",'Your debts'!$F$15&lt;'Your debts'!$F$9),BA60,0)))))</f>
        <v/>
      </c>
      <c r="Y60" s="33">
        <f>W60-X60</f>
        <v/>
      </c>
      <c r="Z60" s="33">
        <f>IF(AD59&lt;=0,0,ROUND(AD59*(1+'Your debts'!$D$10/1200),2))</f>
        <v/>
      </c>
      <c r="AA60" s="33">
        <f>IF(Z60&lt;=0,0,MIN('Your debts'!$E$10,Z60))</f>
        <v/>
      </c>
      <c r="AB60" s="33">
        <f>Z60-AA60</f>
        <v/>
      </c>
      <c r="AC60" s="33">
        <f>IF('Your debts'!$F$10="",0,MIN(AB60,MAX(0,MAX(0,'Your debts'!$C$19-(G60+L60+Q60+V60+AA60+AF60+AK60+AP60+AU60+AZ60))-(IF(AND('Your debts'!$F$6&lt;&gt;"",'Your debts'!$F$10&lt;&gt;"",'Your debts'!$F$6&lt;'Your debts'!$F$10),H60,0)+IF(AND('Your debts'!$F$7&lt;&gt;"",'Your debts'!$F$10&lt;&gt;"",'Your debts'!$F$7&lt;'Your debts'!$F$10),M60,0)+IF(AND('Your debts'!$F$8&lt;&gt;"",'Your debts'!$F$10&lt;&gt;"",'Your debts'!$F$8&lt;'Your debts'!$F$10),R60,0)+IF(AND('Your debts'!$F$9&lt;&gt;"",'Your debts'!$F$10&lt;&gt;"",'Your debts'!$F$9&lt;'Your debts'!$F$10),W60,0)+IF(AND('Your debts'!$F$11&lt;&gt;"",'Your debts'!$F$10&lt;&gt;"",'Your debts'!$F$11&lt;'Your debts'!$F$10),AG60,0)+IF(AND('Your debts'!$F$12&lt;&gt;"",'Your debts'!$F$10&lt;&gt;"",'Your debts'!$F$12&lt;'Your debts'!$F$10),AL60,0)+IF(AND('Your debts'!$F$13&lt;&gt;"",'Your debts'!$F$10&lt;&gt;"",'Your debts'!$F$13&lt;'Your debts'!$F$10),AQ60,0)+IF(AND('Your debts'!$F$14&lt;&gt;"",'Your debts'!$F$10&lt;&gt;"",'Your debts'!$F$14&lt;'Your debts'!$F$10),AV60,0)+IF(AND('Your debts'!$F$15&lt;&gt;"",'Your debts'!$F$10&lt;&gt;"",'Your debts'!$F$15&lt;'Your debts'!$F$10),BA60,0)))))</f>
        <v/>
      </c>
      <c r="AD60" s="33">
        <f>AB60-AC60</f>
        <v/>
      </c>
      <c r="AE60" s="33">
        <f>IF(AI59&lt;=0,0,ROUND(AI59*(1+'Your debts'!$D$11/1200),2))</f>
        <v/>
      </c>
      <c r="AF60" s="33">
        <f>IF(AE60&lt;=0,0,MIN('Your debts'!$E$11,AE60))</f>
        <v/>
      </c>
      <c r="AG60" s="33">
        <f>AE60-AF60</f>
        <v/>
      </c>
      <c r="AH60" s="33">
        <f>IF('Your debts'!$F$11="",0,MIN(AG60,MAX(0,MAX(0,'Your debts'!$C$19-(G60+L60+Q60+V60+AA60+AF60+AK60+AP60+AU60+AZ60))-(IF(AND('Your debts'!$F$6&lt;&gt;"",'Your debts'!$F$11&lt;&gt;"",'Your debts'!$F$6&lt;'Your debts'!$F$11),H60,0)+IF(AND('Your debts'!$F$7&lt;&gt;"",'Your debts'!$F$11&lt;&gt;"",'Your debts'!$F$7&lt;'Your debts'!$F$11),M60,0)+IF(AND('Your debts'!$F$8&lt;&gt;"",'Your debts'!$F$11&lt;&gt;"",'Your debts'!$F$8&lt;'Your debts'!$F$11),R60,0)+IF(AND('Your debts'!$F$9&lt;&gt;"",'Your debts'!$F$11&lt;&gt;"",'Your debts'!$F$9&lt;'Your debts'!$F$11),W60,0)+IF(AND('Your debts'!$F$10&lt;&gt;"",'Your debts'!$F$11&lt;&gt;"",'Your debts'!$F$10&lt;'Your debts'!$F$11),AB60,0)+IF(AND('Your debts'!$F$12&lt;&gt;"",'Your debts'!$F$11&lt;&gt;"",'Your debts'!$F$12&lt;'Your debts'!$F$11),AL60,0)+IF(AND('Your debts'!$F$13&lt;&gt;"",'Your debts'!$F$11&lt;&gt;"",'Your debts'!$F$13&lt;'Your debts'!$F$11),AQ60,0)+IF(AND('Your debts'!$F$14&lt;&gt;"",'Your debts'!$F$11&lt;&gt;"",'Your debts'!$F$14&lt;'Your debts'!$F$11),AV60,0)+IF(AND('Your debts'!$F$15&lt;&gt;"",'Your debts'!$F$11&lt;&gt;"",'Your debts'!$F$15&lt;'Your debts'!$F$11),BA60,0)))))</f>
        <v/>
      </c>
      <c r="AI60" s="33">
        <f>AG60-AH60</f>
        <v/>
      </c>
      <c r="AJ60" s="33">
        <f>IF(AN59&lt;=0,0,ROUND(AN59*(1+'Your debts'!$D$12/1200),2))</f>
        <v/>
      </c>
      <c r="AK60" s="33">
        <f>IF(AJ60&lt;=0,0,MIN('Your debts'!$E$12,AJ60))</f>
        <v/>
      </c>
      <c r="AL60" s="33">
        <f>AJ60-AK60</f>
        <v/>
      </c>
      <c r="AM60" s="33">
        <f>IF('Your debts'!$F$12="",0,MIN(AL60,MAX(0,MAX(0,'Your debts'!$C$19-(G60+L60+Q60+V60+AA60+AF60+AK60+AP60+AU60+AZ60))-(IF(AND('Your debts'!$F$6&lt;&gt;"",'Your debts'!$F$12&lt;&gt;"",'Your debts'!$F$6&lt;'Your debts'!$F$12),H60,0)+IF(AND('Your debts'!$F$7&lt;&gt;"",'Your debts'!$F$12&lt;&gt;"",'Your debts'!$F$7&lt;'Your debts'!$F$12),M60,0)+IF(AND('Your debts'!$F$8&lt;&gt;"",'Your debts'!$F$12&lt;&gt;"",'Your debts'!$F$8&lt;'Your debts'!$F$12),R60,0)+IF(AND('Your debts'!$F$9&lt;&gt;"",'Your debts'!$F$12&lt;&gt;"",'Your debts'!$F$9&lt;'Your debts'!$F$12),W60,0)+IF(AND('Your debts'!$F$10&lt;&gt;"",'Your debts'!$F$12&lt;&gt;"",'Your debts'!$F$10&lt;'Your debts'!$F$12),AB60,0)+IF(AND('Your debts'!$F$11&lt;&gt;"",'Your debts'!$F$12&lt;&gt;"",'Your debts'!$F$11&lt;'Your debts'!$F$12),AG60,0)+IF(AND('Your debts'!$F$13&lt;&gt;"",'Your debts'!$F$12&lt;&gt;"",'Your debts'!$F$13&lt;'Your debts'!$F$12),AQ60,0)+IF(AND('Your debts'!$F$14&lt;&gt;"",'Your debts'!$F$12&lt;&gt;"",'Your debts'!$F$14&lt;'Your debts'!$F$12),AV60,0)+IF(AND('Your debts'!$F$15&lt;&gt;"",'Your debts'!$F$12&lt;&gt;"",'Your debts'!$F$15&lt;'Your debts'!$F$12),BA60,0)))))</f>
        <v/>
      </c>
      <c r="AN60" s="33">
        <f>AL60-AM60</f>
        <v/>
      </c>
      <c r="AO60" s="33">
        <f>IF(AS59&lt;=0,0,ROUND(AS59*(1+'Your debts'!$D$13/1200),2))</f>
        <v/>
      </c>
      <c r="AP60" s="33">
        <f>IF(AO60&lt;=0,0,MIN('Your debts'!$E$13,AO60))</f>
        <v/>
      </c>
      <c r="AQ60" s="33">
        <f>AO60-AP60</f>
        <v/>
      </c>
      <c r="AR60" s="33">
        <f>IF('Your debts'!$F$13="",0,MIN(AQ60,MAX(0,MAX(0,'Your debts'!$C$19-(G60+L60+Q60+V60+AA60+AF60+AK60+AP60+AU60+AZ60))-(IF(AND('Your debts'!$F$6&lt;&gt;"",'Your debts'!$F$13&lt;&gt;"",'Your debts'!$F$6&lt;'Your debts'!$F$13),H60,0)+IF(AND('Your debts'!$F$7&lt;&gt;"",'Your debts'!$F$13&lt;&gt;"",'Your debts'!$F$7&lt;'Your debts'!$F$13),M60,0)+IF(AND('Your debts'!$F$8&lt;&gt;"",'Your debts'!$F$13&lt;&gt;"",'Your debts'!$F$8&lt;'Your debts'!$F$13),R60,0)+IF(AND('Your debts'!$F$9&lt;&gt;"",'Your debts'!$F$13&lt;&gt;"",'Your debts'!$F$9&lt;'Your debts'!$F$13),W60,0)+IF(AND('Your debts'!$F$10&lt;&gt;"",'Your debts'!$F$13&lt;&gt;"",'Your debts'!$F$10&lt;'Your debts'!$F$13),AB60,0)+IF(AND('Your debts'!$F$11&lt;&gt;"",'Your debts'!$F$13&lt;&gt;"",'Your debts'!$F$11&lt;'Your debts'!$F$13),AG60,0)+IF(AND('Your debts'!$F$12&lt;&gt;"",'Your debts'!$F$13&lt;&gt;"",'Your debts'!$F$12&lt;'Your debts'!$F$13),AL60,0)+IF(AND('Your debts'!$F$14&lt;&gt;"",'Your debts'!$F$13&lt;&gt;"",'Your debts'!$F$14&lt;'Your debts'!$F$13),AV60,0)+IF(AND('Your debts'!$F$15&lt;&gt;"",'Your debts'!$F$13&lt;&gt;"",'Your debts'!$F$15&lt;'Your debts'!$F$13),BA60,0)))))</f>
        <v/>
      </c>
      <c r="AS60" s="33">
        <f>AQ60-AR60</f>
        <v/>
      </c>
      <c r="AT60" s="33">
        <f>IF(AX59&lt;=0,0,ROUND(AX59*(1+'Your debts'!$D$14/1200),2))</f>
        <v/>
      </c>
      <c r="AU60" s="33">
        <f>IF(AT60&lt;=0,0,MIN('Your debts'!$E$14,AT60))</f>
        <v/>
      </c>
      <c r="AV60" s="33">
        <f>AT60-AU60</f>
        <v/>
      </c>
      <c r="AW60" s="33">
        <f>IF('Your debts'!$F$14="",0,MIN(AV60,MAX(0,MAX(0,'Your debts'!$C$19-(G60+L60+Q60+V60+AA60+AF60+AK60+AP60+AU60+AZ60))-(IF(AND('Your debts'!$F$6&lt;&gt;"",'Your debts'!$F$14&lt;&gt;"",'Your debts'!$F$6&lt;'Your debts'!$F$14),H60,0)+IF(AND('Your debts'!$F$7&lt;&gt;"",'Your debts'!$F$14&lt;&gt;"",'Your debts'!$F$7&lt;'Your debts'!$F$14),M60,0)+IF(AND('Your debts'!$F$8&lt;&gt;"",'Your debts'!$F$14&lt;&gt;"",'Your debts'!$F$8&lt;'Your debts'!$F$14),R60,0)+IF(AND('Your debts'!$F$9&lt;&gt;"",'Your debts'!$F$14&lt;&gt;"",'Your debts'!$F$9&lt;'Your debts'!$F$14),W60,0)+IF(AND('Your debts'!$F$10&lt;&gt;"",'Your debts'!$F$14&lt;&gt;"",'Your debts'!$F$10&lt;'Your debts'!$F$14),AB60,0)+IF(AND('Your debts'!$F$11&lt;&gt;"",'Your debts'!$F$14&lt;&gt;"",'Your debts'!$F$11&lt;'Your debts'!$F$14),AG60,0)+IF(AND('Your debts'!$F$12&lt;&gt;"",'Your debts'!$F$14&lt;&gt;"",'Your debts'!$F$12&lt;'Your debts'!$F$14),AL60,0)+IF(AND('Your debts'!$F$13&lt;&gt;"",'Your debts'!$F$14&lt;&gt;"",'Your debts'!$F$13&lt;'Your debts'!$F$14),AQ60,0)+IF(AND('Your debts'!$F$15&lt;&gt;"",'Your debts'!$F$14&lt;&gt;"",'Your debts'!$F$15&lt;'Your debts'!$F$14),BA60,0)))))</f>
        <v/>
      </c>
      <c r="AX60" s="33">
        <f>AV60-AW60</f>
        <v/>
      </c>
      <c r="AY60" s="33">
        <f>IF(BC59&lt;=0,0,ROUND(BC59*(1+'Your debts'!$D$15/1200),2))</f>
        <v/>
      </c>
      <c r="AZ60" s="33">
        <f>IF(AY60&lt;=0,0,MIN('Your debts'!$E$15,AY60))</f>
        <v/>
      </c>
      <c r="BA60" s="33">
        <f>AY60-AZ60</f>
        <v/>
      </c>
      <c r="BB60" s="33">
        <f>IF('Your debts'!$F$15="",0,MIN(BA60,MAX(0,MAX(0,'Your debts'!$C$19-(G60+L60+Q60+V60+AA60+AF60+AK60+AP60+AU60+AZ60))-(IF(AND('Your debts'!$F$6&lt;&gt;"",'Your debts'!$F$15&lt;&gt;"",'Your debts'!$F$6&lt;'Your debts'!$F$15),H60,0)+IF(AND('Your debts'!$F$7&lt;&gt;"",'Your debts'!$F$15&lt;&gt;"",'Your debts'!$F$7&lt;'Your debts'!$F$15),M60,0)+IF(AND('Your debts'!$F$8&lt;&gt;"",'Your debts'!$F$15&lt;&gt;"",'Your debts'!$F$8&lt;'Your debts'!$F$15),R60,0)+IF(AND('Your debts'!$F$9&lt;&gt;"",'Your debts'!$F$15&lt;&gt;"",'Your debts'!$F$9&lt;'Your debts'!$F$15),W60,0)+IF(AND('Your debts'!$F$10&lt;&gt;"",'Your debts'!$F$15&lt;&gt;"",'Your debts'!$F$10&lt;'Your debts'!$F$15),AB60,0)+IF(AND('Your debts'!$F$11&lt;&gt;"",'Your debts'!$F$15&lt;&gt;"",'Your debts'!$F$11&lt;'Your debts'!$F$15),AG60,0)+IF(AND('Your debts'!$F$12&lt;&gt;"",'Your debts'!$F$15&lt;&gt;"",'Your debts'!$F$12&lt;'Your debts'!$F$15),AL60,0)+IF(AND('Your debts'!$F$13&lt;&gt;"",'Your debts'!$F$15&lt;&gt;"",'Your debts'!$F$13&lt;'Your debts'!$F$15),AQ60,0)+IF(AND('Your debts'!$F$14&lt;&gt;"",'Your debts'!$F$15&lt;&gt;"",'Your debts'!$F$14&lt;'Your debts'!$F$15),AV60,0)))))</f>
        <v/>
      </c>
      <c r="BC60" s="33">
        <f>BA60-BB60</f>
        <v/>
      </c>
    </row>
    <row r="61">
      <c r="A61" s="30" t="n">
        <v>46</v>
      </c>
      <c r="B61" s="31">
        <f>EDATE($B$15,46)</f>
        <v/>
      </c>
      <c r="C61" s="32">
        <f>IF(J60&lt;=0,0,F61-J60)+IF(O60&lt;=0,0,K61-O60)+IF(T60&lt;=0,0,P61-T60)+IF(Y60&lt;=0,0,U61-Y60)+IF(AD60&lt;=0,0,Z61-AD60)+IF(AI60&lt;=0,0,AE61-AI60)+IF(AN60&lt;=0,0,AJ61-AN60)+IF(AS60&lt;=0,0,AO61-AS60)+IF(AX60&lt;=0,0,AT61-AX60)+IF(BC60&lt;=0,0,AY61-BC60)</f>
        <v/>
      </c>
      <c r="D61" s="32">
        <f>G61+I61+L61+N61+Q61+S61+V61+X61+AA61+AC61+AF61+AH61+AK61+AM61+AP61+AR61+AU61+AW61+AZ61+BB61</f>
        <v/>
      </c>
      <c r="E61" s="32">
        <f>J61+O61+T61+Y61+AD61+AI61+AN61+AS61+AX61+BC61</f>
        <v/>
      </c>
      <c r="F61" s="33">
        <f>IF(J60&lt;=0,0,ROUND(J60*(1+'Your debts'!$D$6/1200),2))</f>
        <v/>
      </c>
      <c r="G61" s="33">
        <f>IF(F61&lt;=0,0,MIN('Your debts'!$E$6,F61))</f>
        <v/>
      </c>
      <c r="H61" s="33">
        <f>F61-G61</f>
        <v/>
      </c>
      <c r="I61" s="33">
        <f>IF('Your debts'!$F$6="",0,MIN(H61,MAX(0,MAX(0,'Your debts'!$C$19-(G61+L61+Q61+V61+AA61+AF61+AK61+AP61+AU61+AZ61))-(IF(AND('Your debts'!$F$7&lt;&gt;"",'Your debts'!$F$6&lt;&gt;"",'Your debts'!$F$7&lt;'Your debts'!$F$6),M61,0)+IF(AND('Your debts'!$F$8&lt;&gt;"",'Your debts'!$F$6&lt;&gt;"",'Your debts'!$F$8&lt;'Your debts'!$F$6),R61,0)+IF(AND('Your debts'!$F$9&lt;&gt;"",'Your debts'!$F$6&lt;&gt;"",'Your debts'!$F$9&lt;'Your debts'!$F$6),W61,0)+IF(AND('Your debts'!$F$10&lt;&gt;"",'Your debts'!$F$6&lt;&gt;"",'Your debts'!$F$10&lt;'Your debts'!$F$6),AB61,0)+IF(AND('Your debts'!$F$11&lt;&gt;"",'Your debts'!$F$6&lt;&gt;"",'Your debts'!$F$11&lt;'Your debts'!$F$6),AG61,0)+IF(AND('Your debts'!$F$12&lt;&gt;"",'Your debts'!$F$6&lt;&gt;"",'Your debts'!$F$12&lt;'Your debts'!$F$6),AL61,0)+IF(AND('Your debts'!$F$13&lt;&gt;"",'Your debts'!$F$6&lt;&gt;"",'Your debts'!$F$13&lt;'Your debts'!$F$6),AQ61,0)+IF(AND('Your debts'!$F$14&lt;&gt;"",'Your debts'!$F$6&lt;&gt;"",'Your debts'!$F$14&lt;'Your debts'!$F$6),AV61,0)+IF(AND('Your debts'!$F$15&lt;&gt;"",'Your debts'!$F$6&lt;&gt;"",'Your debts'!$F$15&lt;'Your debts'!$F$6),BA61,0)))))</f>
        <v/>
      </c>
      <c r="J61" s="33">
        <f>H61-I61</f>
        <v/>
      </c>
      <c r="K61" s="33">
        <f>IF(O60&lt;=0,0,ROUND(O60*(1+'Your debts'!$D$7/1200),2))</f>
        <v/>
      </c>
      <c r="L61" s="33">
        <f>IF(K61&lt;=0,0,MIN('Your debts'!$E$7,K61))</f>
        <v/>
      </c>
      <c r="M61" s="33">
        <f>K61-L61</f>
        <v/>
      </c>
      <c r="N61" s="33">
        <f>IF('Your debts'!$F$7="",0,MIN(M61,MAX(0,MAX(0,'Your debts'!$C$19-(G61+L61+Q61+V61+AA61+AF61+AK61+AP61+AU61+AZ61))-(IF(AND('Your debts'!$F$6&lt;&gt;"",'Your debts'!$F$7&lt;&gt;"",'Your debts'!$F$6&lt;'Your debts'!$F$7),H61,0)+IF(AND('Your debts'!$F$8&lt;&gt;"",'Your debts'!$F$7&lt;&gt;"",'Your debts'!$F$8&lt;'Your debts'!$F$7),R61,0)+IF(AND('Your debts'!$F$9&lt;&gt;"",'Your debts'!$F$7&lt;&gt;"",'Your debts'!$F$9&lt;'Your debts'!$F$7),W61,0)+IF(AND('Your debts'!$F$10&lt;&gt;"",'Your debts'!$F$7&lt;&gt;"",'Your debts'!$F$10&lt;'Your debts'!$F$7),AB61,0)+IF(AND('Your debts'!$F$11&lt;&gt;"",'Your debts'!$F$7&lt;&gt;"",'Your debts'!$F$11&lt;'Your debts'!$F$7),AG61,0)+IF(AND('Your debts'!$F$12&lt;&gt;"",'Your debts'!$F$7&lt;&gt;"",'Your debts'!$F$12&lt;'Your debts'!$F$7),AL61,0)+IF(AND('Your debts'!$F$13&lt;&gt;"",'Your debts'!$F$7&lt;&gt;"",'Your debts'!$F$13&lt;'Your debts'!$F$7),AQ61,0)+IF(AND('Your debts'!$F$14&lt;&gt;"",'Your debts'!$F$7&lt;&gt;"",'Your debts'!$F$14&lt;'Your debts'!$F$7),AV61,0)+IF(AND('Your debts'!$F$15&lt;&gt;"",'Your debts'!$F$7&lt;&gt;"",'Your debts'!$F$15&lt;'Your debts'!$F$7),BA61,0)))))</f>
        <v/>
      </c>
      <c r="O61" s="33">
        <f>M61-N61</f>
        <v/>
      </c>
      <c r="P61" s="33">
        <f>IF(T60&lt;=0,0,ROUND(T60*(1+'Your debts'!$D$8/1200),2))</f>
        <v/>
      </c>
      <c r="Q61" s="33">
        <f>IF(P61&lt;=0,0,MIN('Your debts'!$E$8,P61))</f>
        <v/>
      </c>
      <c r="R61" s="33">
        <f>P61-Q61</f>
        <v/>
      </c>
      <c r="S61" s="33">
        <f>IF('Your debts'!$F$8="",0,MIN(R61,MAX(0,MAX(0,'Your debts'!$C$19-(G61+L61+Q61+V61+AA61+AF61+AK61+AP61+AU61+AZ61))-(IF(AND('Your debts'!$F$6&lt;&gt;"",'Your debts'!$F$8&lt;&gt;"",'Your debts'!$F$6&lt;'Your debts'!$F$8),H61,0)+IF(AND('Your debts'!$F$7&lt;&gt;"",'Your debts'!$F$8&lt;&gt;"",'Your debts'!$F$7&lt;'Your debts'!$F$8),M61,0)+IF(AND('Your debts'!$F$9&lt;&gt;"",'Your debts'!$F$8&lt;&gt;"",'Your debts'!$F$9&lt;'Your debts'!$F$8),W61,0)+IF(AND('Your debts'!$F$10&lt;&gt;"",'Your debts'!$F$8&lt;&gt;"",'Your debts'!$F$10&lt;'Your debts'!$F$8),AB61,0)+IF(AND('Your debts'!$F$11&lt;&gt;"",'Your debts'!$F$8&lt;&gt;"",'Your debts'!$F$11&lt;'Your debts'!$F$8),AG61,0)+IF(AND('Your debts'!$F$12&lt;&gt;"",'Your debts'!$F$8&lt;&gt;"",'Your debts'!$F$12&lt;'Your debts'!$F$8),AL61,0)+IF(AND('Your debts'!$F$13&lt;&gt;"",'Your debts'!$F$8&lt;&gt;"",'Your debts'!$F$13&lt;'Your debts'!$F$8),AQ61,0)+IF(AND('Your debts'!$F$14&lt;&gt;"",'Your debts'!$F$8&lt;&gt;"",'Your debts'!$F$14&lt;'Your debts'!$F$8),AV61,0)+IF(AND('Your debts'!$F$15&lt;&gt;"",'Your debts'!$F$8&lt;&gt;"",'Your debts'!$F$15&lt;'Your debts'!$F$8),BA61,0)))))</f>
        <v/>
      </c>
      <c r="T61" s="33">
        <f>R61-S61</f>
        <v/>
      </c>
      <c r="U61" s="33">
        <f>IF(Y60&lt;=0,0,ROUND(Y60*(1+'Your debts'!$D$9/1200),2))</f>
        <v/>
      </c>
      <c r="V61" s="33">
        <f>IF(U61&lt;=0,0,MIN('Your debts'!$E$9,U61))</f>
        <v/>
      </c>
      <c r="W61" s="33">
        <f>U61-V61</f>
        <v/>
      </c>
      <c r="X61" s="33">
        <f>IF('Your debts'!$F$9="",0,MIN(W61,MAX(0,MAX(0,'Your debts'!$C$19-(G61+L61+Q61+V61+AA61+AF61+AK61+AP61+AU61+AZ61))-(IF(AND('Your debts'!$F$6&lt;&gt;"",'Your debts'!$F$9&lt;&gt;"",'Your debts'!$F$6&lt;'Your debts'!$F$9),H61,0)+IF(AND('Your debts'!$F$7&lt;&gt;"",'Your debts'!$F$9&lt;&gt;"",'Your debts'!$F$7&lt;'Your debts'!$F$9),M61,0)+IF(AND('Your debts'!$F$8&lt;&gt;"",'Your debts'!$F$9&lt;&gt;"",'Your debts'!$F$8&lt;'Your debts'!$F$9),R61,0)+IF(AND('Your debts'!$F$10&lt;&gt;"",'Your debts'!$F$9&lt;&gt;"",'Your debts'!$F$10&lt;'Your debts'!$F$9),AB61,0)+IF(AND('Your debts'!$F$11&lt;&gt;"",'Your debts'!$F$9&lt;&gt;"",'Your debts'!$F$11&lt;'Your debts'!$F$9),AG61,0)+IF(AND('Your debts'!$F$12&lt;&gt;"",'Your debts'!$F$9&lt;&gt;"",'Your debts'!$F$12&lt;'Your debts'!$F$9),AL61,0)+IF(AND('Your debts'!$F$13&lt;&gt;"",'Your debts'!$F$9&lt;&gt;"",'Your debts'!$F$13&lt;'Your debts'!$F$9),AQ61,0)+IF(AND('Your debts'!$F$14&lt;&gt;"",'Your debts'!$F$9&lt;&gt;"",'Your debts'!$F$14&lt;'Your debts'!$F$9),AV61,0)+IF(AND('Your debts'!$F$15&lt;&gt;"",'Your debts'!$F$9&lt;&gt;"",'Your debts'!$F$15&lt;'Your debts'!$F$9),BA61,0)))))</f>
        <v/>
      </c>
      <c r="Y61" s="33">
        <f>W61-X61</f>
        <v/>
      </c>
      <c r="Z61" s="33">
        <f>IF(AD60&lt;=0,0,ROUND(AD60*(1+'Your debts'!$D$10/1200),2))</f>
        <v/>
      </c>
      <c r="AA61" s="33">
        <f>IF(Z61&lt;=0,0,MIN('Your debts'!$E$10,Z61))</f>
        <v/>
      </c>
      <c r="AB61" s="33">
        <f>Z61-AA61</f>
        <v/>
      </c>
      <c r="AC61" s="33">
        <f>IF('Your debts'!$F$10="",0,MIN(AB61,MAX(0,MAX(0,'Your debts'!$C$19-(G61+L61+Q61+V61+AA61+AF61+AK61+AP61+AU61+AZ61))-(IF(AND('Your debts'!$F$6&lt;&gt;"",'Your debts'!$F$10&lt;&gt;"",'Your debts'!$F$6&lt;'Your debts'!$F$10),H61,0)+IF(AND('Your debts'!$F$7&lt;&gt;"",'Your debts'!$F$10&lt;&gt;"",'Your debts'!$F$7&lt;'Your debts'!$F$10),M61,0)+IF(AND('Your debts'!$F$8&lt;&gt;"",'Your debts'!$F$10&lt;&gt;"",'Your debts'!$F$8&lt;'Your debts'!$F$10),R61,0)+IF(AND('Your debts'!$F$9&lt;&gt;"",'Your debts'!$F$10&lt;&gt;"",'Your debts'!$F$9&lt;'Your debts'!$F$10),W61,0)+IF(AND('Your debts'!$F$11&lt;&gt;"",'Your debts'!$F$10&lt;&gt;"",'Your debts'!$F$11&lt;'Your debts'!$F$10),AG61,0)+IF(AND('Your debts'!$F$12&lt;&gt;"",'Your debts'!$F$10&lt;&gt;"",'Your debts'!$F$12&lt;'Your debts'!$F$10),AL61,0)+IF(AND('Your debts'!$F$13&lt;&gt;"",'Your debts'!$F$10&lt;&gt;"",'Your debts'!$F$13&lt;'Your debts'!$F$10),AQ61,0)+IF(AND('Your debts'!$F$14&lt;&gt;"",'Your debts'!$F$10&lt;&gt;"",'Your debts'!$F$14&lt;'Your debts'!$F$10),AV61,0)+IF(AND('Your debts'!$F$15&lt;&gt;"",'Your debts'!$F$10&lt;&gt;"",'Your debts'!$F$15&lt;'Your debts'!$F$10),BA61,0)))))</f>
        <v/>
      </c>
      <c r="AD61" s="33">
        <f>AB61-AC61</f>
        <v/>
      </c>
      <c r="AE61" s="33">
        <f>IF(AI60&lt;=0,0,ROUND(AI60*(1+'Your debts'!$D$11/1200),2))</f>
        <v/>
      </c>
      <c r="AF61" s="33">
        <f>IF(AE61&lt;=0,0,MIN('Your debts'!$E$11,AE61))</f>
        <v/>
      </c>
      <c r="AG61" s="33">
        <f>AE61-AF61</f>
        <v/>
      </c>
      <c r="AH61" s="33">
        <f>IF('Your debts'!$F$11="",0,MIN(AG61,MAX(0,MAX(0,'Your debts'!$C$19-(G61+L61+Q61+V61+AA61+AF61+AK61+AP61+AU61+AZ61))-(IF(AND('Your debts'!$F$6&lt;&gt;"",'Your debts'!$F$11&lt;&gt;"",'Your debts'!$F$6&lt;'Your debts'!$F$11),H61,0)+IF(AND('Your debts'!$F$7&lt;&gt;"",'Your debts'!$F$11&lt;&gt;"",'Your debts'!$F$7&lt;'Your debts'!$F$11),M61,0)+IF(AND('Your debts'!$F$8&lt;&gt;"",'Your debts'!$F$11&lt;&gt;"",'Your debts'!$F$8&lt;'Your debts'!$F$11),R61,0)+IF(AND('Your debts'!$F$9&lt;&gt;"",'Your debts'!$F$11&lt;&gt;"",'Your debts'!$F$9&lt;'Your debts'!$F$11),W61,0)+IF(AND('Your debts'!$F$10&lt;&gt;"",'Your debts'!$F$11&lt;&gt;"",'Your debts'!$F$10&lt;'Your debts'!$F$11),AB61,0)+IF(AND('Your debts'!$F$12&lt;&gt;"",'Your debts'!$F$11&lt;&gt;"",'Your debts'!$F$12&lt;'Your debts'!$F$11),AL61,0)+IF(AND('Your debts'!$F$13&lt;&gt;"",'Your debts'!$F$11&lt;&gt;"",'Your debts'!$F$13&lt;'Your debts'!$F$11),AQ61,0)+IF(AND('Your debts'!$F$14&lt;&gt;"",'Your debts'!$F$11&lt;&gt;"",'Your debts'!$F$14&lt;'Your debts'!$F$11),AV61,0)+IF(AND('Your debts'!$F$15&lt;&gt;"",'Your debts'!$F$11&lt;&gt;"",'Your debts'!$F$15&lt;'Your debts'!$F$11),BA61,0)))))</f>
        <v/>
      </c>
      <c r="AI61" s="33">
        <f>AG61-AH61</f>
        <v/>
      </c>
      <c r="AJ61" s="33">
        <f>IF(AN60&lt;=0,0,ROUND(AN60*(1+'Your debts'!$D$12/1200),2))</f>
        <v/>
      </c>
      <c r="AK61" s="33">
        <f>IF(AJ61&lt;=0,0,MIN('Your debts'!$E$12,AJ61))</f>
        <v/>
      </c>
      <c r="AL61" s="33">
        <f>AJ61-AK61</f>
        <v/>
      </c>
      <c r="AM61" s="33">
        <f>IF('Your debts'!$F$12="",0,MIN(AL61,MAX(0,MAX(0,'Your debts'!$C$19-(G61+L61+Q61+V61+AA61+AF61+AK61+AP61+AU61+AZ61))-(IF(AND('Your debts'!$F$6&lt;&gt;"",'Your debts'!$F$12&lt;&gt;"",'Your debts'!$F$6&lt;'Your debts'!$F$12),H61,0)+IF(AND('Your debts'!$F$7&lt;&gt;"",'Your debts'!$F$12&lt;&gt;"",'Your debts'!$F$7&lt;'Your debts'!$F$12),M61,0)+IF(AND('Your debts'!$F$8&lt;&gt;"",'Your debts'!$F$12&lt;&gt;"",'Your debts'!$F$8&lt;'Your debts'!$F$12),R61,0)+IF(AND('Your debts'!$F$9&lt;&gt;"",'Your debts'!$F$12&lt;&gt;"",'Your debts'!$F$9&lt;'Your debts'!$F$12),W61,0)+IF(AND('Your debts'!$F$10&lt;&gt;"",'Your debts'!$F$12&lt;&gt;"",'Your debts'!$F$10&lt;'Your debts'!$F$12),AB61,0)+IF(AND('Your debts'!$F$11&lt;&gt;"",'Your debts'!$F$12&lt;&gt;"",'Your debts'!$F$11&lt;'Your debts'!$F$12),AG61,0)+IF(AND('Your debts'!$F$13&lt;&gt;"",'Your debts'!$F$12&lt;&gt;"",'Your debts'!$F$13&lt;'Your debts'!$F$12),AQ61,0)+IF(AND('Your debts'!$F$14&lt;&gt;"",'Your debts'!$F$12&lt;&gt;"",'Your debts'!$F$14&lt;'Your debts'!$F$12),AV61,0)+IF(AND('Your debts'!$F$15&lt;&gt;"",'Your debts'!$F$12&lt;&gt;"",'Your debts'!$F$15&lt;'Your debts'!$F$12),BA61,0)))))</f>
        <v/>
      </c>
      <c r="AN61" s="33">
        <f>AL61-AM61</f>
        <v/>
      </c>
      <c r="AO61" s="33">
        <f>IF(AS60&lt;=0,0,ROUND(AS60*(1+'Your debts'!$D$13/1200),2))</f>
        <v/>
      </c>
      <c r="AP61" s="33">
        <f>IF(AO61&lt;=0,0,MIN('Your debts'!$E$13,AO61))</f>
        <v/>
      </c>
      <c r="AQ61" s="33">
        <f>AO61-AP61</f>
        <v/>
      </c>
      <c r="AR61" s="33">
        <f>IF('Your debts'!$F$13="",0,MIN(AQ61,MAX(0,MAX(0,'Your debts'!$C$19-(G61+L61+Q61+V61+AA61+AF61+AK61+AP61+AU61+AZ61))-(IF(AND('Your debts'!$F$6&lt;&gt;"",'Your debts'!$F$13&lt;&gt;"",'Your debts'!$F$6&lt;'Your debts'!$F$13),H61,0)+IF(AND('Your debts'!$F$7&lt;&gt;"",'Your debts'!$F$13&lt;&gt;"",'Your debts'!$F$7&lt;'Your debts'!$F$13),M61,0)+IF(AND('Your debts'!$F$8&lt;&gt;"",'Your debts'!$F$13&lt;&gt;"",'Your debts'!$F$8&lt;'Your debts'!$F$13),R61,0)+IF(AND('Your debts'!$F$9&lt;&gt;"",'Your debts'!$F$13&lt;&gt;"",'Your debts'!$F$9&lt;'Your debts'!$F$13),W61,0)+IF(AND('Your debts'!$F$10&lt;&gt;"",'Your debts'!$F$13&lt;&gt;"",'Your debts'!$F$10&lt;'Your debts'!$F$13),AB61,0)+IF(AND('Your debts'!$F$11&lt;&gt;"",'Your debts'!$F$13&lt;&gt;"",'Your debts'!$F$11&lt;'Your debts'!$F$13),AG61,0)+IF(AND('Your debts'!$F$12&lt;&gt;"",'Your debts'!$F$13&lt;&gt;"",'Your debts'!$F$12&lt;'Your debts'!$F$13),AL61,0)+IF(AND('Your debts'!$F$14&lt;&gt;"",'Your debts'!$F$13&lt;&gt;"",'Your debts'!$F$14&lt;'Your debts'!$F$13),AV61,0)+IF(AND('Your debts'!$F$15&lt;&gt;"",'Your debts'!$F$13&lt;&gt;"",'Your debts'!$F$15&lt;'Your debts'!$F$13),BA61,0)))))</f>
        <v/>
      </c>
      <c r="AS61" s="33">
        <f>AQ61-AR61</f>
        <v/>
      </c>
      <c r="AT61" s="33">
        <f>IF(AX60&lt;=0,0,ROUND(AX60*(1+'Your debts'!$D$14/1200),2))</f>
        <v/>
      </c>
      <c r="AU61" s="33">
        <f>IF(AT61&lt;=0,0,MIN('Your debts'!$E$14,AT61))</f>
        <v/>
      </c>
      <c r="AV61" s="33">
        <f>AT61-AU61</f>
        <v/>
      </c>
      <c r="AW61" s="33">
        <f>IF('Your debts'!$F$14="",0,MIN(AV61,MAX(0,MAX(0,'Your debts'!$C$19-(G61+L61+Q61+V61+AA61+AF61+AK61+AP61+AU61+AZ61))-(IF(AND('Your debts'!$F$6&lt;&gt;"",'Your debts'!$F$14&lt;&gt;"",'Your debts'!$F$6&lt;'Your debts'!$F$14),H61,0)+IF(AND('Your debts'!$F$7&lt;&gt;"",'Your debts'!$F$14&lt;&gt;"",'Your debts'!$F$7&lt;'Your debts'!$F$14),M61,0)+IF(AND('Your debts'!$F$8&lt;&gt;"",'Your debts'!$F$14&lt;&gt;"",'Your debts'!$F$8&lt;'Your debts'!$F$14),R61,0)+IF(AND('Your debts'!$F$9&lt;&gt;"",'Your debts'!$F$14&lt;&gt;"",'Your debts'!$F$9&lt;'Your debts'!$F$14),W61,0)+IF(AND('Your debts'!$F$10&lt;&gt;"",'Your debts'!$F$14&lt;&gt;"",'Your debts'!$F$10&lt;'Your debts'!$F$14),AB61,0)+IF(AND('Your debts'!$F$11&lt;&gt;"",'Your debts'!$F$14&lt;&gt;"",'Your debts'!$F$11&lt;'Your debts'!$F$14),AG61,0)+IF(AND('Your debts'!$F$12&lt;&gt;"",'Your debts'!$F$14&lt;&gt;"",'Your debts'!$F$12&lt;'Your debts'!$F$14),AL61,0)+IF(AND('Your debts'!$F$13&lt;&gt;"",'Your debts'!$F$14&lt;&gt;"",'Your debts'!$F$13&lt;'Your debts'!$F$14),AQ61,0)+IF(AND('Your debts'!$F$15&lt;&gt;"",'Your debts'!$F$14&lt;&gt;"",'Your debts'!$F$15&lt;'Your debts'!$F$14),BA61,0)))))</f>
        <v/>
      </c>
      <c r="AX61" s="33">
        <f>AV61-AW61</f>
        <v/>
      </c>
      <c r="AY61" s="33">
        <f>IF(BC60&lt;=0,0,ROUND(BC60*(1+'Your debts'!$D$15/1200),2))</f>
        <v/>
      </c>
      <c r="AZ61" s="33">
        <f>IF(AY61&lt;=0,0,MIN('Your debts'!$E$15,AY61))</f>
        <v/>
      </c>
      <c r="BA61" s="33">
        <f>AY61-AZ61</f>
        <v/>
      </c>
      <c r="BB61" s="33">
        <f>IF('Your debts'!$F$15="",0,MIN(BA61,MAX(0,MAX(0,'Your debts'!$C$19-(G61+L61+Q61+V61+AA61+AF61+AK61+AP61+AU61+AZ61))-(IF(AND('Your debts'!$F$6&lt;&gt;"",'Your debts'!$F$15&lt;&gt;"",'Your debts'!$F$6&lt;'Your debts'!$F$15),H61,0)+IF(AND('Your debts'!$F$7&lt;&gt;"",'Your debts'!$F$15&lt;&gt;"",'Your debts'!$F$7&lt;'Your debts'!$F$15),M61,0)+IF(AND('Your debts'!$F$8&lt;&gt;"",'Your debts'!$F$15&lt;&gt;"",'Your debts'!$F$8&lt;'Your debts'!$F$15),R61,0)+IF(AND('Your debts'!$F$9&lt;&gt;"",'Your debts'!$F$15&lt;&gt;"",'Your debts'!$F$9&lt;'Your debts'!$F$15),W61,0)+IF(AND('Your debts'!$F$10&lt;&gt;"",'Your debts'!$F$15&lt;&gt;"",'Your debts'!$F$10&lt;'Your debts'!$F$15),AB61,0)+IF(AND('Your debts'!$F$11&lt;&gt;"",'Your debts'!$F$15&lt;&gt;"",'Your debts'!$F$11&lt;'Your debts'!$F$15),AG61,0)+IF(AND('Your debts'!$F$12&lt;&gt;"",'Your debts'!$F$15&lt;&gt;"",'Your debts'!$F$12&lt;'Your debts'!$F$15),AL61,0)+IF(AND('Your debts'!$F$13&lt;&gt;"",'Your debts'!$F$15&lt;&gt;"",'Your debts'!$F$13&lt;'Your debts'!$F$15),AQ61,0)+IF(AND('Your debts'!$F$14&lt;&gt;"",'Your debts'!$F$15&lt;&gt;"",'Your debts'!$F$14&lt;'Your debts'!$F$15),AV61,0)))))</f>
        <v/>
      </c>
      <c r="BC61" s="33">
        <f>BA61-BB61</f>
        <v/>
      </c>
    </row>
    <row r="62">
      <c r="A62" s="30" t="n">
        <v>47</v>
      </c>
      <c r="B62" s="31">
        <f>EDATE($B$15,47)</f>
        <v/>
      </c>
      <c r="C62" s="32">
        <f>IF(J61&lt;=0,0,F62-J61)+IF(O61&lt;=0,0,K62-O61)+IF(T61&lt;=0,0,P62-T61)+IF(Y61&lt;=0,0,U62-Y61)+IF(AD61&lt;=0,0,Z62-AD61)+IF(AI61&lt;=0,0,AE62-AI61)+IF(AN61&lt;=0,0,AJ62-AN61)+IF(AS61&lt;=0,0,AO62-AS61)+IF(AX61&lt;=0,0,AT62-AX61)+IF(BC61&lt;=0,0,AY62-BC61)</f>
        <v/>
      </c>
      <c r="D62" s="32">
        <f>G62+I62+L62+N62+Q62+S62+V62+X62+AA62+AC62+AF62+AH62+AK62+AM62+AP62+AR62+AU62+AW62+AZ62+BB62</f>
        <v/>
      </c>
      <c r="E62" s="32">
        <f>J62+O62+T62+Y62+AD62+AI62+AN62+AS62+AX62+BC62</f>
        <v/>
      </c>
      <c r="F62" s="33">
        <f>IF(J61&lt;=0,0,ROUND(J61*(1+'Your debts'!$D$6/1200),2))</f>
        <v/>
      </c>
      <c r="G62" s="33">
        <f>IF(F62&lt;=0,0,MIN('Your debts'!$E$6,F62))</f>
        <v/>
      </c>
      <c r="H62" s="33">
        <f>F62-G62</f>
        <v/>
      </c>
      <c r="I62" s="33">
        <f>IF('Your debts'!$F$6="",0,MIN(H62,MAX(0,MAX(0,'Your debts'!$C$19-(G62+L62+Q62+V62+AA62+AF62+AK62+AP62+AU62+AZ62))-(IF(AND('Your debts'!$F$7&lt;&gt;"",'Your debts'!$F$6&lt;&gt;"",'Your debts'!$F$7&lt;'Your debts'!$F$6),M62,0)+IF(AND('Your debts'!$F$8&lt;&gt;"",'Your debts'!$F$6&lt;&gt;"",'Your debts'!$F$8&lt;'Your debts'!$F$6),R62,0)+IF(AND('Your debts'!$F$9&lt;&gt;"",'Your debts'!$F$6&lt;&gt;"",'Your debts'!$F$9&lt;'Your debts'!$F$6),W62,0)+IF(AND('Your debts'!$F$10&lt;&gt;"",'Your debts'!$F$6&lt;&gt;"",'Your debts'!$F$10&lt;'Your debts'!$F$6),AB62,0)+IF(AND('Your debts'!$F$11&lt;&gt;"",'Your debts'!$F$6&lt;&gt;"",'Your debts'!$F$11&lt;'Your debts'!$F$6),AG62,0)+IF(AND('Your debts'!$F$12&lt;&gt;"",'Your debts'!$F$6&lt;&gt;"",'Your debts'!$F$12&lt;'Your debts'!$F$6),AL62,0)+IF(AND('Your debts'!$F$13&lt;&gt;"",'Your debts'!$F$6&lt;&gt;"",'Your debts'!$F$13&lt;'Your debts'!$F$6),AQ62,0)+IF(AND('Your debts'!$F$14&lt;&gt;"",'Your debts'!$F$6&lt;&gt;"",'Your debts'!$F$14&lt;'Your debts'!$F$6),AV62,0)+IF(AND('Your debts'!$F$15&lt;&gt;"",'Your debts'!$F$6&lt;&gt;"",'Your debts'!$F$15&lt;'Your debts'!$F$6),BA62,0)))))</f>
        <v/>
      </c>
      <c r="J62" s="33">
        <f>H62-I62</f>
        <v/>
      </c>
      <c r="K62" s="33">
        <f>IF(O61&lt;=0,0,ROUND(O61*(1+'Your debts'!$D$7/1200),2))</f>
        <v/>
      </c>
      <c r="L62" s="33">
        <f>IF(K62&lt;=0,0,MIN('Your debts'!$E$7,K62))</f>
        <v/>
      </c>
      <c r="M62" s="33">
        <f>K62-L62</f>
        <v/>
      </c>
      <c r="N62" s="33">
        <f>IF('Your debts'!$F$7="",0,MIN(M62,MAX(0,MAX(0,'Your debts'!$C$19-(G62+L62+Q62+V62+AA62+AF62+AK62+AP62+AU62+AZ62))-(IF(AND('Your debts'!$F$6&lt;&gt;"",'Your debts'!$F$7&lt;&gt;"",'Your debts'!$F$6&lt;'Your debts'!$F$7),H62,0)+IF(AND('Your debts'!$F$8&lt;&gt;"",'Your debts'!$F$7&lt;&gt;"",'Your debts'!$F$8&lt;'Your debts'!$F$7),R62,0)+IF(AND('Your debts'!$F$9&lt;&gt;"",'Your debts'!$F$7&lt;&gt;"",'Your debts'!$F$9&lt;'Your debts'!$F$7),W62,0)+IF(AND('Your debts'!$F$10&lt;&gt;"",'Your debts'!$F$7&lt;&gt;"",'Your debts'!$F$10&lt;'Your debts'!$F$7),AB62,0)+IF(AND('Your debts'!$F$11&lt;&gt;"",'Your debts'!$F$7&lt;&gt;"",'Your debts'!$F$11&lt;'Your debts'!$F$7),AG62,0)+IF(AND('Your debts'!$F$12&lt;&gt;"",'Your debts'!$F$7&lt;&gt;"",'Your debts'!$F$12&lt;'Your debts'!$F$7),AL62,0)+IF(AND('Your debts'!$F$13&lt;&gt;"",'Your debts'!$F$7&lt;&gt;"",'Your debts'!$F$13&lt;'Your debts'!$F$7),AQ62,0)+IF(AND('Your debts'!$F$14&lt;&gt;"",'Your debts'!$F$7&lt;&gt;"",'Your debts'!$F$14&lt;'Your debts'!$F$7),AV62,0)+IF(AND('Your debts'!$F$15&lt;&gt;"",'Your debts'!$F$7&lt;&gt;"",'Your debts'!$F$15&lt;'Your debts'!$F$7),BA62,0)))))</f>
        <v/>
      </c>
      <c r="O62" s="33">
        <f>M62-N62</f>
        <v/>
      </c>
      <c r="P62" s="33">
        <f>IF(T61&lt;=0,0,ROUND(T61*(1+'Your debts'!$D$8/1200),2))</f>
        <v/>
      </c>
      <c r="Q62" s="33">
        <f>IF(P62&lt;=0,0,MIN('Your debts'!$E$8,P62))</f>
        <v/>
      </c>
      <c r="R62" s="33">
        <f>P62-Q62</f>
        <v/>
      </c>
      <c r="S62" s="33">
        <f>IF('Your debts'!$F$8="",0,MIN(R62,MAX(0,MAX(0,'Your debts'!$C$19-(G62+L62+Q62+V62+AA62+AF62+AK62+AP62+AU62+AZ62))-(IF(AND('Your debts'!$F$6&lt;&gt;"",'Your debts'!$F$8&lt;&gt;"",'Your debts'!$F$6&lt;'Your debts'!$F$8),H62,0)+IF(AND('Your debts'!$F$7&lt;&gt;"",'Your debts'!$F$8&lt;&gt;"",'Your debts'!$F$7&lt;'Your debts'!$F$8),M62,0)+IF(AND('Your debts'!$F$9&lt;&gt;"",'Your debts'!$F$8&lt;&gt;"",'Your debts'!$F$9&lt;'Your debts'!$F$8),W62,0)+IF(AND('Your debts'!$F$10&lt;&gt;"",'Your debts'!$F$8&lt;&gt;"",'Your debts'!$F$10&lt;'Your debts'!$F$8),AB62,0)+IF(AND('Your debts'!$F$11&lt;&gt;"",'Your debts'!$F$8&lt;&gt;"",'Your debts'!$F$11&lt;'Your debts'!$F$8),AG62,0)+IF(AND('Your debts'!$F$12&lt;&gt;"",'Your debts'!$F$8&lt;&gt;"",'Your debts'!$F$12&lt;'Your debts'!$F$8),AL62,0)+IF(AND('Your debts'!$F$13&lt;&gt;"",'Your debts'!$F$8&lt;&gt;"",'Your debts'!$F$13&lt;'Your debts'!$F$8),AQ62,0)+IF(AND('Your debts'!$F$14&lt;&gt;"",'Your debts'!$F$8&lt;&gt;"",'Your debts'!$F$14&lt;'Your debts'!$F$8),AV62,0)+IF(AND('Your debts'!$F$15&lt;&gt;"",'Your debts'!$F$8&lt;&gt;"",'Your debts'!$F$15&lt;'Your debts'!$F$8),BA62,0)))))</f>
        <v/>
      </c>
      <c r="T62" s="33">
        <f>R62-S62</f>
        <v/>
      </c>
      <c r="U62" s="33">
        <f>IF(Y61&lt;=0,0,ROUND(Y61*(1+'Your debts'!$D$9/1200),2))</f>
        <v/>
      </c>
      <c r="V62" s="33">
        <f>IF(U62&lt;=0,0,MIN('Your debts'!$E$9,U62))</f>
        <v/>
      </c>
      <c r="W62" s="33">
        <f>U62-V62</f>
        <v/>
      </c>
      <c r="X62" s="33">
        <f>IF('Your debts'!$F$9="",0,MIN(W62,MAX(0,MAX(0,'Your debts'!$C$19-(G62+L62+Q62+V62+AA62+AF62+AK62+AP62+AU62+AZ62))-(IF(AND('Your debts'!$F$6&lt;&gt;"",'Your debts'!$F$9&lt;&gt;"",'Your debts'!$F$6&lt;'Your debts'!$F$9),H62,0)+IF(AND('Your debts'!$F$7&lt;&gt;"",'Your debts'!$F$9&lt;&gt;"",'Your debts'!$F$7&lt;'Your debts'!$F$9),M62,0)+IF(AND('Your debts'!$F$8&lt;&gt;"",'Your debts'!$F$9&lt;&gt;"",'Your debts'!$F$8&lt;'Your debts'!$F$9),R62,0)+IF(AND('Your debts'!$F$10&lt;&gt;"",'Your debts'!$F$9&lt;&gt;"",'Your debts'!$F$10&lt;'Your debts'!$F$9),AB62,0)+IF(AND('Your debts'!$F$11&lt;&gt;"",'Your debts'!$F$9&lt;&gt;"",'Your debts'!$F$11&lt;'Your debts'!$F$9),AG62,0)+IF(AND('Your debts'!$F$12&lt;&gt;"",'Your debts'!$F$9&lt;&gt;"",'Your debts'!$F$12&lt;'Your debts'!$F$9),AL62,0)+IF(AND('Your debts'!$F$13&lt;&gt;"",'Your debts'!$F$9&lt;&gt;"",'Your debts'!$F$13&lt;'Your debts'!$F$9),AQ62,0)+IF(AND('Your debts'!$F$14&lt;&gt;"",'Your debts'!$F$9&lt;&gt;"",'Your debts'!$F$14&lt;'Your debts'!$F$9),AV62,0)+IF(AND('Your debts'!$F$15&lt;&gt;"",'Your debts'!$F$9&lt;&gt;"",'Your debts'!$F$15&lt;'Your debts'!$F$9),BA62,0)))))</f>
        <v/>
      </c>
      <c r="Y62" s="33">
        <f>W62-X62</f>
        <v/>
      </c>
      <c r="Z62" s="33">
        <f>IF(AD61&lt;=0,0,ROUND(AD61*(1+'Your debts'!$D$10/1200),2))</f>
        <v/>
      </c>
      <c r="AA62" s="33">
        <f>IF(Z62&lt;=0,0,MIN('Your debts'!$E$10,Z62))</f>
        <v/>
      </c>
      <c r="AB62" s="33">
        <f>Z62-AA62</f>
        <v/>
      </c>
      <c r="AC62" s="33">
        <f>IF('Your debts'!$F$10="",0,MIN(AB62,MAX(0,MAX(0,'Your debts'!$C$19-(G62+L62+Q62+V62+AA62+AF62+AK62+AP62+AU62+AZ62))-(IF(AND('Your debts'!$F$6&lt;&gt;"",'Your debts'!$F$10&lt;&gt;"",'Your debts'!$F$6&lt;'Your debts'!$F$10),H62,0)+IF(AND('Your debts'!$F$7&lt;&gt;"",'Your debts'!$F$10&lt;&gt;"",'Your debts'!$F$7&lt;'Your debts'!$F$10),M62,0)+IF(AND('Your debts'!$F$8&lt;&gt;"",'Your debts'!$F$10&lt;&gt;"",'Your debts'!$F$8&lt;'Your debts'!$F$10),R62,0)+IF(AND('Your debts'!$F$9&lt;&gt;"",'Your debts'!$F$10&lt;&gt;"",'Your debts'!$F$9&lt;'Your debts'!$F$10),W62,0)+IF(AND('Your debts'!$F$11&lt;&gt;"",'Your debts'!$F$10&lt;&gt;"",'Your debts'!$F$11&lt;'Your debts'!$F$10),AG62,0)+IF(AND('Your debts'!$F$12&lt;&gt;"",'Your debts'!$F$10&lt;&gt;"",'Your debts'!$F$12&lt;'Your debts'!$F$10),AL62,0)+IF(AND('Your debts'!$F$13&lt;&gt;"",'Your debts'!$F$10&lt;&gt;"",'Your debts'!$F$13&lt;'Your debts'!$F$10),AQ62,0)+IF(AND('Your debts'!$F$14&lt;&gt;"",'Your debts'!$F$10&lt;&gt;"",'Your debts'!$F$14&lt;'Your debts'!$F$10),AV62,0)+IF(AND('Your debts'!$F$15&lt;&gt;"",'Your debts'!$F$10&lt;&gt;"",'Your debts'!$F$15&lt;'Your debts'!$F$10),BA62,0)))))</f>
        <v/>
      </c>
      <c r="AD62" s="33">
        <f>AB62-AC62</f>
        <v/>
      </c>
      <c r="AE62" s="33">
        <f>IF(AI61&lt;=0,0,ROUND(AI61*(1+'Your debts'!$D$11/1200),2))</f>
        <v/>
      </c>
      <c r="AF62" s="33">
        <f>IF(AE62&lt;=0,0,MIN('Your debts'!$E$11,AE62))</f>
        <v/>
      </c>
      <c r="AG62" s="33">
        <f>AE62-AF62</f>
        <v/>
      </c>
      <c r="AH62" s="33">
        <f>IF('Your debts'!$F$11="",0,MIN(AG62,MAX(0,MAX(0,'Your debts'!$C$19-(G62+L62+Q62+V62+AA62+AF62+AK62+AP62+AU62+AZ62))-(IF(AND('Your debts'!$F$6&lt;&gt;"",'Your debts'!$F$11&lt;&gt;"",'Your debts'!$F$6&lt;'Your debts'!$F$11),H62,0)+IF(AND('Your debts'!$F$7&lt;&gt;"",'Your debts'!$F$11&lt;&gt;"",'Your debts'!$F$7&lt;'Your debts'!$F$11),M62,0)+IF(AND('Your debts'!$F$8&lt;&gt;"",'Your debts'!$F$11&lt;&gt;"",'Your debts'!$F$8&lt;'Your debts'!$F$11),R62,0)+IF(AND('Your debts'!$F$9&lt;&gt;"",'Your debts'!$F$11&lt;&gt;"",'Your debts'!$F$9&lt;'Your debts'!$F$11),W62,0)+IF(AND('Your debts'!$F$10&lt;&gt;"",'Your debts'!$F$11&lt;&gt;"",'Your debts'!$F$10&lt;'Your debts'!$F$11),AB62,0)+IF(AND('Your debts'!$F$12&lt;&gt;"",'Your debts'!$F$11&lt;&gt;"",'Your debts'!$F$12&lt;'Your debts'!$F$11),AL62,0)+IF(AND('Your debts'!$F$13&lt;&gt;"",'Your debts'!$F$11&lt;&gt;"",'Your debts'!$F$13&lt;'Your debts'!$F$11),AQ62,0)+IF(AND('Your debts'!$F$14&lt;&gt;"",'Your debts'!$F$11&lt;&gt;"",'Your debts'!$F$14&lt;'Your debts'!$F$11),AV62,0)+IF(AND('Your debts'!$F$15&lt;&gt;"",'Your debts'!$F$11&lt;&gt;"",'Your debts'!$F$15&lt;'Your debts'!$F$11),BA62,0)))))</f>
        <v/>
      </c>
      <c r="AI62" s="33">
        <f>AG62-AH62</f>
        <v/>
      </c>
      <c r="AJ62" s="33">
        <f>IF(AN61&lt;=0,0,ROUND(AN61*(1+'Your debts'!$D$12/1200),2))</f>
        <v/>
      </c>
      <c r="AK62" s="33">
        <f>IF(AJ62&lt;=0,0,MIN('Your debts'!$E$12,AJ62))</f>
        <v/>
      </c>
      <c r="AL62" s="33">
        <f>AJ62-AK62</f>
        <v/>
      </c>
      <c r="AM62" s="33">
        <f>IF('Your debts'!$F$12="",0,MIN(AL62,MAX(0,MAX(0,'Your debts'!$C$19-(G62+L62+Q62+V62+AA62+AF62+AK62+AP62+AU62+AZ62))-(IF(AND('Your debts'!$F$6&lt;&gt;"",'Your debts'!$F$12&lt;&gt;"",'Your debts'!$F$6&lt;'Your debts'!$F$12),H62,0)+IF(AND('Your debts'!$F$7&lt;&gt;"",'Your debts'!$F$12&lt;&gt;"",'Your debts'!$F$7&lt;'Your debts'!$F$12),M62,0)+IF(AND('Your debts'!$F$8&lt;&gt;"",'Your debts'!$F$12&lt;&gt;"",'Your debts'!$F$8&lt;'Your debts'!$F$12),R62,0)+IF(AND('Your debts'!$F$9&lt;&gt;"",'Your debts'!$F$12&lt;&gt;"",'Your debts'!$F$9&lt;'Your debts'!$F$12),W62,0)+IF(AND('Your debts'!$F$10&lt;&gt;"",'Your debts'!$F$12&lt;&gt;"",'Your debts'!$F$10&lt;'Your debts'!$F$12),AB62,0)+IF(AND('Your debts'!$F$11&lt;&gt;"",'Your debts'!$F$12&lt;&gt;"",'Your debts'!$F$11&lt;'Your debts'!$F$12),AG62,0)+IF(AND('Your debts'!$F$13&lt;&gt;"",'Your debts'!$F$12&lt;&gt;"",'Your debts'!$F$13&lt;'Your debts'!$F$12),AQ62,0)+IF(AND('Your debts'!$F$14&lt;&gt;"",'Your debts'!$F$12&lt;&gt;"",'Your debts'!$F$14&lt;'Your debts'!$F$12),AV62,0)+IF(AND('Your debts'!$F$15&lt;&gt;"",'Your debts'!$F$12&lt;&gt;"",'Your debts'!$F$15&lt;'Your debts'!$F$12),BA62,0)))))</f>
        <v/>
      </c>
      <c r="AN62" s="33">
        <f>AL62-AM62</f>
        <v/>
      </c>
      <c r="AO62" s="33">
        <f>IF(AS61&lt;=0,0,ROUND(AS61*(1+'Your debts'!$D$13/1200),2))</f>
        <v/>
      </c>
      <c r="AP62" s="33">
        <f>IF(AO62&lt;=0,0,MIN('Your debts'!$E$13,AO62))</f>
        <v/>
      </c>
      <c r="AQ62" s="33">
        <f>AO62-AP62</f>
        <v/>
      </c>
      <c r="AR62" s="33">
        <f>IF('Your debts'!$F$13="",0,MIN(AQ62,MAX(0,MAX(0,'Your debts'!$C$19-(G62+L62+Q62+V62+AA62+AF62+AK62+AP62+AU62+AZ62))-(IF(AND('Your debts'!$F$6&lt;&gt;"",'Your debts'!$F$13&lt;&gt;"",'Your debts'!$F$6&lt;'Your debts'!$F$13),H62,0)+IF(AND('Your debts'!$F$7&lt;&gt;"",'Your debts'!$F$13&lt;&gt;"",'Your debts'!$F$7&lt;'Your debts'!$F$13),M62,0)+IF(AND('Your debts'!$F$8&lt;&gt;"",'Your debts'!$F$13&lt;&gt;"",'Your debts'!$F$8&lt;'Your debts'!$F$13),R62,0)+IF(AND('Your debts'!$F$9&lt;&gt;"",'Your debts'!$F$13&lt;&gt;"",'Your debts'!$F$9&lt;'Your debts'!$F$13),W62,0)+IF(AND('Your debts'!$F$10&lt;&gt;"",'Your debts'!$F$13&lt;&gt;"",'Your debts'!$F$10&lt;'Your debts'!$F$13),AB62,0)+IF(AND('Your debts'!$F$11&lt;&gt;"",'Your debts'!$F$13&lt;&gt;"",'Your debts'!$F$11&lt;'Your debts'!$F$13),AG62,0)+IF(AND('Your debts'!$F$12&lt;&gt;"",'Your debts'!$F$13&lt;&gt;"",'Your debts'!$F$12&lt;'Your debts'!$F$13),AL62,0)+IF(AND('Your debts'!$F$14&lt;&gt;"",'Your debts'!$F$13&lt;&gt;"",'Your debts'!$F$14&lt;'Your debts'!$F$13),AV62,0)+IF(AND('Your debts'!$F$15&lt;&gt;"",'Your debts'!$F$13&lt;&gt;"",'Your debts'!$F$15&lt;'Your debts'!$F$13),BA62,0)))))</f>
        <v/>
      </c>
      <c r="AS62" s="33">
        <f>AQ62-AR62</f>
        <v/>
      </c>
      <c r="AT62" s="33">
        <f>IF(AX61&lt;=0,0,ROUND(AX61*(1+'Your debts'!$D$14/1200),2))</f>
        <v/>
      </c>
      <c r="AU62" s="33">
        <f>IF(AT62&lt;=0,0,MIN('Your debts'!$E$14,AT62))</f>
        <v/>
      </c>
      <c r="AV62" s="33">
        <f>AT62-AU62</f>
        <v/>
      </c>
      <c r="AW62" s="33">
        <f>IF('Your debts'!$F$14="",0,MIN(AV62,MAX(0,MAX(0,'Your debts'!$C$19-(G62+L62+Q62+V62+AA62+AF62+AK62+AP62+AU62+AZ62))-(IF(AND('Your debts'!$F$6&lt;&gt;"",'Your debts'!$F$14&lt;&gt;"",'Your debts'!$F$6&lt;'Your debts'!$F$14),H62,0)+IF(AND('Your debts'!$F$7&lt;&gt;"",'Your debts'!$F$14&lt;&gt;"",'Your debts'!$F$7&lt;'Your debts'!$F$14),M62,0)+IF(AND('Your debts'!$F$8&lt;&gt;"",'Your debts'!$F$14&lt;&gt;"",'Your debts'!$F$8&lt;'Your debts'!$F$14),R62,0)+IF(AND('Your debts'!$F$9&lt;&gt;"",'Your debts'!$F$14&lt;&gt;"",'Your debts'!$F$9&lt;'Your debts'!$F$14),W62,0)+IF(AND('Your debts'!$F$10&lt;&gt;"",'Your debts'!$F$14&lt;&gt;"",'Your debts'!$F$10&lt;'Your debts'!$F$14),AB62,0)+IF(AND('Your debts'!$F$11&lt;&gt;"",'Your debts'!$F$14&lt;&gt;"",'Your debts'!$F$11&lt;'Your debts'!$F$14),AG62,0)+IF(AND('Your debts'!$F$12&lt;&gt;"",'Your debts'!$F$14&lt;&gt;"",'Your debts'!$F$12&lt;'Your debts'!$F$14),AL62,0)+IF(AND('Your debts'!$F$13&lt;&gt;"",'Your debts'!$F$14&lt;&gt;"",'Your debts'!$F$13&lt;'Your debts'!$F$14),AQ62,0)+IF(AND('Your debts'!$F$15&lt;&gt;"",'Your debts'!$F$14&lt;&gt;"",'Your debts'!$F$15&lt;'Your debts'!$F$14),BA62,0)))))</f>
        <v/>
      </c>
      <c r="AX62" s="33">
        <f>AV62-AW62</f>
        <v/>
      </c>
      <c r="AY62" s="33">
        <f>IF(BC61&lt;=0,0,ROUND(BC61*(1+'Your debts'!$D$15/1200),2))</f>
        <v/>
      </c>
      <c r="AZ62" s="33">
        <f>IF(AY62&lt;=0,0,MIN('Your debts'!$E$15,AY62))</f>
        <v/>
      </c>
      <c r="BA62" s="33">
        <f>AY62-AZ62</f>
        <v/>
      </c>
      <c r="BB62" s="33">
        <f>IF('Your debts'!$F$15="",0,MIN(BA62,MAX(0,MAX(0,'Your debts'!$C$19-(G62+L62+Q62+V62+AA62+AF62+AK62+AP62+AU62+AZ62))-(IF(AND('Your debts'!$F$6&lt;&gt;"",'Your debts'!$F$15&lt;&gt;"",'Your debts'!$F$6&lt;'Your debts'!$F$15),H62,0)+IF(AND('Your debts'!$F$7&lt;&gt;"",'Your debts'!$F$15&lt;&gt;"",'Your debts'!$F$7&lt;'Your debts'!$F$15),M62,0)+IF(AND('Your debts'!$F$8&lt;&gt;"",'Your debts'!$F$15&lt;&gt;"",'Your debts'!$F$8&lt;'Your debts'!$F$15),R62,0)+IF(AND('Your debts'!$F$9&lt;&gt;"",'Your debts'!$F$15&lt;&gt;"",'Your debts'!$F$9&lt;'Your debts'!$F$15),W62,0)+IF(AND('Your debts'!$F$10&lt;&gt;"",'Your debts'!$F$15&lt;&gt;"",'Your debts'!$F$10&lt;'Your debts'!$F$15),AB62,0)+IF(AND('Your debts'!$F$11&lt;&gt;"",'Your debts'!$F$15&lt;&gt;"",'Your debts'!$F$11&lt;'Your debts'!$F$15),AG62,0)+IF(AND('Your debts'!$F$12&lt;&gt;"",'Your debts'!$F$15&lt;&gt;"",'Your debts'!$F$12&lt;'Your debts'!$F$15),AL62,0)+IF(AND('Your debts'!$F$13&lt;&gt;"",'Your debts'!$F$15&lt;&gt;"",'Your debts'!$F$13&lt;'Your debts'!$F$15),AQ62,0)+IF(AND('Your debts'!$F$14&lt;&gt;"",'Your debts'!$F$15&lt;&gt;"",'Your debts'!$F$14&lt;'Your debts'!$F$15),AV62,0)))))</f>
        <v/>
      </c>
      <c r="BC62" s="33">
        <f>BA62-BB62</f>
        <v/>
      </c>
    </row>
    <row r="63">
      <c r="A63" s="30" t="n">
        <v>48</v>
      </c>
      <c r="B63" s="31">
        <f>EDATE($B$15,48)</f>
        <v/>
      </c>
      <c r="C63" s="32">
        <f>IF(J62&lt;=0,0,F63-J62)+IF(O62&lt;=0,0,K63-O62)+IF(T62&lt;=0,0,P63-T62)+IF(Y62&lt;=0,0,U63-Y62)+IF(AD62&lt;=0,0,Z63-AD62)+IF(AI62&lt;=0,0,AE63-AI62)+IF(AN62&lt;=0,0,AJ63-AN62)+IF(AS62&lt;=0,0,AO63-AS62)+IF(AX62&lt;=0,0,AT63-AX62)+IF(BC62&lt;=0,0,AY63-BC62)</f>
        <v/>
      </c>
      <c r="D63" s="32">
        <f>G63+I63+L63+N63+Q63+S63+V63+X63+AA63+AC63+AF63+AH63+AK63+AM63+AP63+AR63+AU63+AW63+AZ63+BB63</f>
        <v/>
      </c>
      <c r="E63" s="32">
        <f>J63+O63+T63+Y63+AD63+AI63+AN63+AS63+AX63+BC63</f>
        <v/>
      </c>
      <c r="F63" s="33">
        <f>IF(J62&lt;=0,0,ROUND(J62*(1+'Your debts'!$D$6/1200),2))</f>
        <v/>
      </c>
      <c r="G63" s="33">
        <f>IF(F63&lt;=0,0,MIN('Your debts'!$E$6,F63))</f>
        <v/>
      </c>
      <c r="H63" s="33">
        <f>F63-G63</f>
        <v/>
      </c>
      <c r="I63" s="33">
        <f>IF('Your debts'!$F$6="",0,MIN(H63,MAX(0,MAX(0,'Your debts'!$C$19-(G63+L63+Q63+V63+AA63+AF63+AK63+AP63+AU63+AZ63))-(IF(AND('Your debts'!$F$7&lt;&gt;"",'Your debts'!$F$6&lt;&gt;"",'Your debts'!$F$7&lt;'Your debts'!$F$6),M63,0)+IF(AND('Your debts'!$F$8&lt;&gt;"",'Your debts'!$F$6&lt;&gt;"",'Your debts'!$F$8&lt;'Your debts'!$F$6),R63,0)+IF(AND('Your debts'!$F$9&lt;&gt;"",'Your debts'!$F$6&lt;&gt;"",'Your debts'!$F$9&lt;'Your debts'!$F$6),W63,0)+IF(AND('Your debts'!$F$10&lt;&gt;"",'Your debts'!$F$6&lt;&gt;"",'Your debts'!$F$10&lt;'Your debts'!$F$6),AB63,0)+IF(AND('Your debts'!$F$11&lt;&gt;"",'Your debts'!$F$6&lt;&gt;"",'Your debts'!$F$11&lt;'Your debts'!$F$6),AG63,0)+IF(AND('Your debts'!$F$12&lt;&gt;"",'Your debts'!$F$6&lt;&gt;"",'Your debts'!$F$12&lt;'Your debts'!$F$6),AL63,0)+IF(AND('Your debts'!$F$13&lt;&gt;"",'Your debts'!$F$6&lt;&gt;"",'Your debts'!$F$13&lt;'Your debts'!$F$6),AQ63,0)+IF(AND('Your debts'!$F$14&lt;&gt;"",'Your debts'!$F$6&lt;&gt;"",'Your debts'!$F$14&lt;'Your debts'!$F$6),AV63,0)+IF(AND('Your debts'!$F$15&lt;&gt;"",'Your debts'!$F$6&lt;&gt;"",'Your debts'!$F$15&lt;'Your debts'!$F$6),BA63,0)))))</f>
        <v/>
      </c>
      <c r="J63" s="33">
        <f>H63-I63</f>
        <v/>
      </c>
      <c r="K63" s="33">
        <f>IF(O62&lt;=0,0,ROUND(O62*(1+'Your debts'!$D$7/1200),2))</f>
        <v/>
      </c>
      <c r="L63" s="33">
        <f>IF(K63&lt;=0,0,MIN('Your debts'!$E$7,K63))</f>
        <v/>
      </c>
      <c r="M63" s="33">
        <f>K63-L63</f>
        <v/>
      </c>
      <c r="N63" s="33">
        <f>IF('Your debts'!$F$7="",0,MIN(M63,MAX(0,MAX(0,'Your debts'!$C$19-(G63+L63+Q63+V63+AA63+AF63+AK63+AP63+AU63+AZ63))-(IF(AND('Your debts'!$F$6&lt;&gt;"",'Your debts'!$F$7&lt;&gt;"",'Your debts'!$F$6&lt;'Your debts'!$F$7),H63,0)+IF(AND('Your debts'!$F$8&lt;&gt;"",'Your debts'!$F$7&lt;&gt;"",'Your debts'!$F$8&lt;'Your debts'!$F$7),R63,0)+IF(AND('Your debts'!$F$9&lt;&gt;"",'Your debts'!$F$7&lt;&gt;"",'Your debts'!$F$9&lt;'Your debts'!$F$7),W63,0)+IF(AND('Your debts'!$F$10&lt;&gt;"",'Your debts'!$F$7&lt;&gt;"",'Your debts'!$F$10&lt;'Your debts'!$F$7),AB63,0)+IF(AND('Your debts'!$F$11&lt;&gt;"",'Your debts'!$F$7&lt;&gt;"",'Your debts'!$F$11&lt;'Your debts'!$F$7),AG63,0)+IF(AND('Your debts'!$F$12&lt;&gt;"",'Your debts'!$F$7&lt;&gt;"",'Your debts'!$F$12&lt;'Your debts'!$F$7),AL63,0)+IF(AND('Your debts'!$F$13&lt;&gt;"",'Your debts'!$F$7&lt;&gt;"",'Your debts'!$F$13&lt;'Your debts'!$F$7),AQ63,0)+IF(AND('Your debts'!$F$14&lt;&gt;"",'Your debts'!$F$7&lt;&gt;"",'Your debts'!$F$14&lt;'Your debts'!$F$7),AV63,0)+IF(AND('Your debts'!$F$15&lt;&gt;"",'Your debts'!$F$7&lt;&gt;"",'Your debts'!$F$15&lt;'Your debts'!$F$7),BA63,0)))))</f>
        <v/>
      </c>
      <c r="O63" s="33">
        <f>M63-N63</f>
        <v/>
      </c>
      <c r="P63" s="33">
        <f>IF(T62&lt;=0,0,ROUND(T62*(1+'Your debts'!$D$8/1200),2))</f>
        <v/>
      </c>
      <c r="Q63" s="33">
        <f>IF(P63&lt;=0,0,MIN('Your debts'!$E$8,P63))</f>
        <v/>
      </c>
      <c r="R63" s="33">
        <f>P63-Q63</f>
        <v/>
      </c>
      <c r="S63" s="33">
        <f>IF('Your debts'!$F$8="",0,MIN(R63,MAX(0,MAX(0,'Your debts'!$C$19-(G63+L63+Q63+V63+AA63+AF63+AK63+AP63+AU63+AZ63))-(IF(AND('Your debts'!$F$6&lt;&gt;"",'Your debts'!$F$8&lt;&gt;"",'Your debts'!$F$6&lt;'Your debts'!$F$8),H63,0)+IF(AND('Your debts'!$F$7&lt;&gt;"",'Your debts'!$F$8&lt;&gt;"",'Your debts'!$F$7&lt;'Your debts'!$F$8),M63,0)+IF(AND('Your debts'!$F$9&lt;&gt;"",'Your debts'!$F$8&lt;&gt;"",'Your debts'!$F$9&lt;'Your debts'!$F$8),W63,0)+IF(AND('Your debts'!$F$10&lt;&gt;"",'Your debts'!$F$8&lt;&gt;"",'Your debts'!$F$10&lt;'Your debts'!$F$8),AB63,0)+IF(AND('Your debts'!$F$11&lt;&gt;"",'Your debts'!$F$8&lt;&gt;"",'Your debts'!$F$11&lt;'Your debts'!$F$8),AG63,0)+IF(AND('Your debts'!$F$12&lt;&gt;"",'Your debts'!$F$8&lt;&gt;"",'Your debts'!$F$12&lt;'Your debts'!$F$8),AL63,0)+IF(AND('Your debts'!$F$13&lt;&gt;"",'Your debts'!$F$8&lt;&gt;"",'Your debts'!$F$13&lt;'Your debts'!$F$8),AQ63,0)+IF(AND('Your debts'!$F$14&lt;&gt;"",'Your debts'!$F$8&lt;&gt;"",'Your debts'!$F$14&lt;'Your debts'!$F$8),AV63,0)+IF(AND('Your debts'!$F$15&lt;&gt;"",'Your debts'!$F$8&lt;&gt;"",'Your debts'!$F$15&lt;'Your debts'!$F$8),BA63,0)))))</f>
        <v/>
      </c>
      <c r="T63" s="33">
        <f>R63-S63</f>
        <v/>
      </c>
      <c r="U63" s="33">
        <f>IF(Y62&lt;=0,0,ROUND(Y62*(1+'Your debts'!$D$9/1200),2))</f>
        <v/>
      </c>
      <c r="V63" s="33">
        <f>IF(U63&lt;=0,0,MIN('Your debts'!$E$9,U63))</f>
        <v/>
      </c>
      <c r="W63" s="33">
        <f>U63-V63</f>
        <v/>
      </c>
      <c r="X63" s="33">
        <f>IF('Your debts'!$F$9="",0,MIN(W63,MAX(0,MAX(0,'Your debts'!$C$19-(G63+L63+Q63+V63+AA63+AF63+AK63+AP63+AU63+AZ63))-(IF(AND('Your debts'!$F$6&lt;&gt;"",'Your debts'!$F$9&lt;&gt;"",'Your debts'!$F$6&lt;'Your debts'!$F$9),H63,0)+IF(AND('Your debts'!$F$7&lt;&gt;"",'Your debts'!$F$9&lt;&gt;"",'Your debts'!$F$7&lt;'Your debts'!$F$9),M63,0)+IF(AND('Your debts'!$F$8&lt;&gt;"",'Your debts'!$F$9&lt;&gt;"",'Your debts'!$F$8&lt;'Your debts'!$F$9),R63,0)+IF(AND('Your debts'!$F$10&lt;&gt;"",'Your debts'!$F$9&lt;&gt;"",'Your debts'!$F$10&lt;'Your debts'!$F$9),AB63,0)+IF(AND('Your debts'!$F$11&lt;&gt;"",'Your debts'!$F$9&lt;&gt;"",'Your debts'!$F$11&lt;'Your debts'!$F$9),AG63,0)+IF(AND('Your debts'!$F$12&lt;&gt;"",'Your debts'!$F$9&lt;&gt;"",'Your debts'!$F$12&lt;'Your debts'!$F$9),AL63,0)+IF(AND('Your debts'!$F$13&lt;&gt;"",'Your debts'!$F$9&lt;&gt;"",'Your debts'!$F$13&lt;'Your debts'!$F$9),AQ63,0)+IF(AND('Your debts'!$F$14&lt;&gt;"",'Your debts'!$F$9&lt;&gt;"",'Your debts'!$F$14&lt;'Your debts'!$F$9),AV63,0)+IF(AND('Your debts'!$F$15&lt;&gt;"",'Your debts'!$F$9&lt;&gt;"",'Your debts'!$F$15&lt;'Your debts'!$F$9),BA63,0)))))</f>
        <v/>
      </c>
      <c r="Y63" s="33">
        <f>W63-X63</f>
        <v/>
      </c>
      <c r="Z63" s="33">
        <f>IF(AD62&lt;=0,0,ROUND(AD62*(1+'Your debts'!$D$10/1200),2))</f>
        <v/>
      </c>
      <c r="AA63" s="33">
        <f>IF(Z63&lt;=0,0,MIN('Your debts'!$E$10,Z63))</f>
        <v/>
      </c>
      <c r="AB63" s="33">
        <f>Z63-AA63</f>
        <v/>
      </c>
      <c r="AC63" s="33">
        <f>IF('Your debts'!$F$10="",0,MIN(AB63,MAX(0,MAX(0,'Your debts'!$C$19-(G63+L63+Q63+V63+AA63+AF63+AK63+AP63+AU63+AZ63))-(IF(AND('Your debts'!$F$6&lt;&gt;"",'Your debts'!$F$10&lt;&gt;"",'Your debts'!$F$6&lt;'Your debts'!$F$10),H63,0)+IF(AND('Your debts'!$F$7&lt;&gt;"",'Your debts'!$F$10&lt;&gt;"",'Your debts'!$F$7&lt;'Your debts'!$F$10),M63,0)+IF(AND('Your debts'!$F$8&lt;&gt;"",'Your debts'!$F$10&lt;&gt;"",'Your debts'!$F$8&lt;'Your debts'!$F$10),R63,0)+IF(AND('Your debts'!$F$9&lt;&gt;"",'Your debts'!$F$10&lt;&gt;"",'Your debts'!$F$9&lt;'Your debts'!$F$10),W63,0)+IF(AND('Your debts'!$F$11&lt;&gt;"",'Your debts'!$F$10&lt;&gt;"",'Your debts'!$F$11&lt;'Your debts'!$F$10),AG63,0)+IF(AND('Your debts'!$F$12&lt;&gt;"",'Your debts'!$F$10&lt;&gt;"",'Your debts'!$F$12&lt;'Your debts'!$F$10),AL63,0)+IF(AND('Your debts'!$F$13&lt;&gt;"",'Your debts'!$F$10&lt;&gt;"",'Your debts'!$F$13&lt;'Your debts'!$F$10),AQ63,0)+IF(AND('Your debts'!$F$14&lt;&gt;"",'Your debts'!$F$10&lt;&gt;"",'Your debts'!$F$14&lt;'Your debts'!$F$10),AV63,0)+IF(AND('Your debts'!$F$15&lt;&gt;"",'Your debts'!$F$10&lt;&gt;"",'Your debts'!$F$15&lt;'Your debts'!$F$10),BA63,0)))))</f>
        <v/>
      </c>
      <c r="AD63" s="33">
        <f>AB63-AC63</f>
        <v/>
      </c>
      <c r="AE63" s="33">
        <f>IF(AI62&lt;=0,0,ROUND(AI62*(1+'Your debts'!$D$11/1200),2))</f>
        <v/>
      </c>
      <c r="AF63" s="33">
        <f>IF(AE63&lt;=0,0,MIN('Your debts'!$E$11,AE63))</f>
        <v/>
      </c>
      <c r="AG63" s="33">
        <f>AE63-AF63</f>
        <v/>
      </c>
      <c r="AH63" s="33">
        <f>IF('Your debts'!$F$11="",0,MIN(AG63,MAX(0,MAX(0,'Your debts'!$C$19-(G63+L63+Q63+V63+AA63+AF63+AK63+AP63+AU63+AZ63))-(IF(AND('Your debts'!$F$6&lt;&gt;"",'Your debts'!$F$11&lt;&gt;"",'Your debts'!$F$6&lt;'Your debts'!$F$11),H63,0)+IF(AND('Your debts'!$F$7&lt;&gt;"",'Your debts'!$F$11&lt;&gt;"",'Your debts'!$F$7&lt;'Your debts'!$F$11),M63,0)+IF(AND('Your debts'!$F$8&lt;&gt;"",'Your debts'!$F$11&lt;&gt;"",'Your debts'!$F$8&lt;'Your debts'!$F$11),R63,0)+IF(AND('Your debts'!$F$9&lt;&gt;"",'Your debts'!$F$11&lt;&gt;"",'Your debts'!$F$9&lt;'Your debts'!$F$11),W63,0)+IF(AND('Your debts'!$F$10&lt;&gt;"",'Your debts'!$F$11&lt;&gt;"",'Your debts'!$F$10&lt;'Your debts'!$F$11),AB63,0)+IF(AND('Your debts'!$F$12&lt;&gt;"",'Your debts'!$F$11&lt;&gt;"",'Your debts'!$F$12&lt;'Your debts'!$F$11),AL63,0)+IF(AND('Your debts'!$F$13&lt;&gt;"",'Your debts'!$F$11&lt;&gt;"",'Your debts'!$F$13&lt;'Your debts'!$F$11),AQ63,0)+IF(AND('Your debts'!$F$14&lt;&gt;"",'Your debts'!$F$11&lt;&gt;"",'Your debts'!$F$14&lt;'Your debts'!$F$11),AV63,0)+IF(AND('Your debts'!$F$15&lt;&gt;"",'Your debts'!$F$11&lt;&gt;"",'Your debts'!$F$15&lt;'Your debts'!$F$11),BA63,0)))))</f>
        <v/>
      </c>
      <c r="AI63" s="33">
        <f>AG63-AH63</f>
        <v/>
      </c>
      <c r="AJ63" s="33">
        <f>IF(AN62&lt;=0,0,ROUND(AN62*(1+'Your debts'!$D$12/1200),2))</f>
        <v/>
      </c>
      <c r="AK63" s="33">
        <f>IF(AJ63&lt;=0,0,MIN('Your debts'!$E$12,AJ63))</f>
        <v/>
      </c>
      <c r="AL63" s="33">
        <f>AJ63-AK63</f>
        <v/>
      </c>
      <c r="AM63" s="33">
        <f>IF('Your debts'!$F$12="",0,MIN(AL63,MAX(0,MAX(0,'Your debts'!$C$19-(G63+L63+Q63+V63+AA63+AF63+AK63+AP63+AU63+AZ63))-(IF(AND('Your debts'!$F$6&lt;&gt;"",'Your debts'!$F$12&lt;&gt;"",'Your debts'!$F$6&lt;'Your debts'!$F$12),H63,0)+IF(AND('Your debts'!$F$7&lt;&gt;"",'Your debts'!$F$12&lt;&gt;"",'Your debts'!$F$7&lt;'Your debts'!$F$12),M63,0)+IF(AND('Your debts'!$F$8&lt;&gt;"",'Your debts'!$F$12&lt;&gt;"",'Your debts'!$F$8&lt;'Your debts'!$F$12),R63,0)+IF(AND('Your debts'!$F$9&lt;&gt;"",'Your debts'!$F$12&lt;&gt;"",'Your debts'!$F$9&lt;'Your debts'!$F$12),W63,0)+IF(AND('Your debts'!$F$10&lt;&gt;"",'Your debts'!$F$12&lt;&gt;"",'Your debts'!$F$10&lt;'Your debts'!$F$12),AB63,0)+IF(AND('Your debts'!$F$11&lt;&gt;"",'Your debts'!$F$12&lt;&gt;"",'Your debts'!$F$11&lt;'Your debts'!$F$12),AG63,0)+IF(AND('Your debts'!$F$13&lt;&gt;"",'Your debts'!$F$12&lt;&gt;"",'Your debts'!$F$13&lt;'Your debts'!$F$12),AQ63,0)+IF(AND('Your debts'!$F$14&lt;&gt;"",'Your debts'!$F$12&lt;&gt;"",'Your debts'!$F$14&lt;'Your debts'!$F$12),AV63,0)+IF(AND('Your debts'!$F$15&lt;&gt;"",'Your debts'!$F$12&lt;&gt;"",'Your debts'!$F$15&lt;'Your debts'!$F$12),BA63,0)))))</f>
        <v/>
      </c>
      <c r="AN63" s="33">
        <f>AL63-AM63</f>
        <v/>
      </c>
      <c r="AO63" s="33">
        <f>IF(AS62&lt;=0,0,ROUND(AS62*(1+'Your debts'!$D$13/1200),2))</f>
        <v/>
      </c>
      <c r="AP63" s="33">
        <f>IF(AO63&lt;=0,0,MIN('Your debts'!$E$13,AO63))</f>
        <v/>
      </c>
      <c r="AQ63" s="33">
        <f>AO63-AP63</f>
        <v/>
      </c>
      <c r="AR63" s="33">
        <f>IF('Your debts'!$F$13="",0,MIN(AQ63,MAX(0,MAX(0,'Your debts'!$C$19-(G63+L63+Q63+V63+AA63+AF63+AK63+AP63+AU63+AZ63))-(IF(AND('Your debts'!$F$6&lt;&gt;"",'Your debts'!$F$13&lt;&gt;"",'Your debts'!$F$6&lt;'Your debts'!$F$13),H63,0)+IF(AND('Your debts'!$F$7&lt;&gt;"",'Your debts'!$F$13&lt;&gt;"",'Your debts'!$F$7&lt;'Your debts'!$F$13),M63,0)+IF(AND('Your debts'!$F$8&lt;&gt;"",'Your debts'!$F$13&lt;&gt;"",'Your debts'!$F$8&lt;'Your debts'!$F$13),R63,0)+IF(AND('Your debts'!$F$9&lt;&gt;"",'Your debts'!$F$13&lt;&gt;"",'Your debts'!$F$9&lt;'Your debts'!$F$13),W63,0)+IF(AND('Your debts'!$F$10&lt;&gt;"",'Your debts'!$F$13&lt;&gt;"",'Your debts'!$F$10&lt;'Your debts'!$F$13),AB63,0)+IF(AND('Your debts'!$F$11&lt;&gt;"",'Your debts'!$F$13&lt;&gt;"",'Your debts'!$F$11&lt;'Your debts'!$F$13),AG63,0)+IF(AND('Your debts'!$F$12&lt;&gt;"",'Your debts'!$F$13&lt;&gt;"",'Your debts'!$F$12&lt;'Your debts'!$F$13),AL63,0)+IF(AND('Your debts'!$F$14&lt;&gt;"",'Your debts'!$F$13&lt;&gt;"",'Your debts'!$F$14&lt;'Your debts'!$F$13),AV63,0)+IF(AND('Your debts'!$F$15&lt;&gt;"",'Your debts'!$F$13&lt;&gt;"",'Your debts'!$F$15&lt;'Your debts'!$F$13),BA63,0)))))</f>
        <v/>
      </c>
      <c r="AS63" s="33">
        <f>AQ63-AR63</f>
        <v/>
      </c>
      <c r="AT63" s="33">
        <f>IF(AX62&lt;=0,0,ROUND(AX62*(1+'Your debts'!$D$14/1200),2))</f>
        <v/>
      </c>
      <c r="AU63" s="33">
        <f>IF(AT63&lt;=0,0,MIN('Your debts'!$E$14,AT63))</f>
        <v/>
      </c>
      <c r="AV63" s="33">
        <f>AT63-AU63</f>
        <v/>
      </c>
      <c r="AW63" s="33">
        <f>IF('Your debts'!$F$14="",0,MIN(AV63,MAX(0,MAX(0,'Your debts'!$C$19-(G63+L63+Q63+V63+AA63+AF63+AK63+AP63+AU63+AZ63))-(IF(AND('Your debts'!$F$6&lt;&gt;"",'Your debts'!$F$14&lt;&gt;"",'Your debts'!$F$6&lt;'Your debts'!$F$14),H63,0)+IF(AND('Your debts'!$F$7&lt;&gt;"",'Your debts'!$F$14&lt;&gt;"",'Your debts'!$F$7&lt;'Your debts'!$F$14),M63,0)+IF(AND('Your debts'!$F$8&lt;&gt;"",'Your debts'!$F$14&lt;&gt;"",'Your debts'!$F$8&lt;'Your debts'!$F$14),R63,0)+IF(AND('Your debts'!$F$9&lt;&gt;"",'Your debts'!$F$14&lt;&gt;"",'Your debts'!$F$9&lt;'Your debts'!$F$14),W63,0)+IF(AND('Your debts'!$F$10&lt;&gt;"",'Your debts'!$F$14&lt;&gt;"",'Your debts'!$F$10&lt;'Your debts'!$F$14),AB63,0)+IF(AND('Your debts'!$F$11&lt;&gt;"",'Your debts'!$F$14&lt;&gt;"",'Your debts'!$F$11&lt;'Your debts'!$F$14),AG63,0)+IF(AND('Your debts'!$F$12&lt;&gt;"",'Your debts'!$F$14&lt;&gt;"",'Your debts'!$F$12&lt;'Your debts'!$F$14),AL63,0)+IF(AND('Your debts'!$F$13&lt;&gt;"",'Your debts'!$F$14&lt;&gt;"",'Your debts'!$F$13&lt;'Your debts'!$F$14),AQ63,0)+IF(AND('Your debts'!$F$15&lt;&gt;"",'Your debts'!$F$14&lt;&gt;"",'Your debts'!$F$15&lt;'Your debts'!$F$14),BA63,0)))))</f>
        <v/>
      </c>
      <c r="AX63" s="33">
        <f>AV63-AW63</f>
        <v/>
      </c>
      <c r="AY63" s="33">
        <f>IF(BC62&lt;=0,0,ROUND(BC62*(1+'Your debts'!$D$15/1200),2))</f>
        <v/>
      </c>
      <c r="AZ63" s="33">
        <f>IF(AY63&lt;=0,0,MIN('Your debts'!$E$15,AY63))</f>
        <v/>
      </c>
      <c r="BA63" s="33">
        <f>AY63-AZ63</f>
        <v/>
      </c>
      <c r="BB63" s="33">
        <f>IF('Your debts'!$F$15="",0,MIN(BA63,MAX(0,MAX(0,'Your debts'!$C$19-(G63+L63+Q63+V63+AA63+AF63+AK63+AP63+AU63+AZ63))-(IF(AND('Your debts'!$F$6&lt;&gt;"",'Your debts'!$F$15&lt;&gt;"",'Your debts'!$F$6&lt;'Your debts'!$F$15),H63,0)+IF(AND('Your debts'!$F$7&lt;&gt;"",'Your debts'!$F$15&lt;&gt;"",'Your debts'!$F$7&lt;'Your debts'!$F$15),M63,0)+IF(AND('Your debts'!$F$8&lt;&gt;"",'Your debts'!$F$15&lt;&gt;"",'Your debts'!$F$8&lt;'Your debts'!$F$15),R63,0)+IF(AND('Your debts'!$F$9&lt;&gt;"",'Your debts'!$F$15&lt;&gt;"",'Your debts'!$F$9&lt;'Your debts'!$F$15),W63,0)+IF(AND('Your debts'!$F$10&lt;&gt;"",'Your debts'!$F$15&lt;&gt;"",'Your debts'!$F$10&lt;'Your debts'!$F$15),AB63,0)+IF(AND('Your debts'!$F$11&lt;&gt;"",'Your debts'!$F$15&lt;&gt;"",'Your debts'!$F$11&lt;'Your debts'!$F$15),AG63,0)+IF(AND('Your debts'!$F$12&lt;&gt;"",'Your debts'!$F$15&lt;&gt;"",'Your debts'!$F$12&lt;'Your debts'!$F$15),AL63,0)+IF(AND('Your debts'!$F$13&lt;&gt;"",'Your debts'!$F$15&lt;&gt;"",'Your debts'!$F$13&lt;'Your debts'!$F$15),AQ63,0)+IF(AND('Your debts'!$F$14&lt;&gt;"",'Your debts'!$F$15&lt;&gt;"",'Your debts'!$F$14&lt;'Your debts'!$F$15),AV63,0)))))</f>
        <v/>
      </c>
      <c r="BC63" s="33">
        <f>BA63-BB63</f>
        <v/>
      </c>
    </row>
    <row r="64">
      <c r="A64" s="30" t="n">
        <v>49</v>
      </c>
      <c r="B64" s="31">
        <f>EDATE($B$15,49)</f>
        <v/>
      </c>
      <c r="C64" s="32">
        <f>IF(J63&lt;=0,0,F64-J63)+IF(O63&lt;=0,0,K64-O63)+IF(T63&lt;=0,0,P64-T63)+IF(Y63&lt;=0,0,U64-Y63)+IF(AD63&lt;=0,0,Z64-AD63)+IF(AI63&lt;=0,0,AE64-AI63)+IF(AN63&lt;=0,0,AJ64-AN63)+IF(AS63&lt;=0,0,AO64-AS63)+IF(AX63&lt;=0,0,AT64-AX63)+IF(BC63&lt;=0,0,AY64-BC63)</f>
        <v/>
      </c>
      <c r="D64" s="32">
        <f>G64+I64+L64+N64+Q64+S64+V64+X64+AA64+AC64+AF64+AH64+AK64+AM64+AP64+AR64+AU64+AW64+AZ64+BB64</f>
        <v/>
      </c>
      <c r="E64" s="32">
        <f>J64+O64+T64+Y64+AD64+AI64+AN64+AS64+AX64+BC64</f>
        <v/>
      </c>
      <c r="F64" s="33">
        <f>IF(J63&lt;=0,0,ROUND(J63*(1+'Your debts'!$D$6/1200),2))</f>
        <v/>
      </c>
      <c r="G64" s="33">
        <f>IF(F64&lt;=0,0,MIN('Your debts'!$E$6,F64))</f>
        <v/>
      </c>
      <c r="H64" s="33">
        <f>F64-G64</f>
        <v/>
      </c>
      <c r="I64" s="33">
        <f>IF('Your debts'!$F$6="",0,MIN(H64,MAX(0,MAX(0,'Your debts'!$C$19-(G64+L64+Q64+V64+AA64+AF64+AK64+AP64+AU64+AZ64))-(IF(AND('Your debts'!$F$7&lt;&gt;"",'Your debts'!$F$6&lt;&gt;"",'Your debts'!$F$7&lt;'Your debts'!$F$6),M64,0)+IF(AND('Your debts'!$F$8&lt;&gt;"",'Your debts'!$F$6&lt;&gt;"",'Your debts'!$F$8&lt;'Your debts'!$F$6),R64,0)+IF(AND('Your debts'!$F$9&lt;&gt;"",'Your debts'!$F$6&lt;&gt;"",'Your debts'!$F$9&lt;'Your debts'!$F$6),W64,0)+IF(AND('Your debts'!$F$10&lt;&gt;"",'Your debts'!$F$6&lt;&gt;"",'Your debts'!$F$10&lt;'Your debts'!$F$6),AB64,0)+IF(AND('Your debts'!$F$11&lt;&gt;"",'Your debts'!$F$6&lt;&gt;"",'Your debts'!$F$11&lt;'Your debts'!$F$6),AG64,0)+IF(AND('Your debts'!$F$12&lt;&gt;"",'Your debts'!$F$6&lt;&gt;"",'Your debts'!$F$12&lt;'Your debts'!$F$6),AL64,0)+IF(AND('Your debts'!$F$13&lt;&gt;"",'Your debts'!$F$6&lt;&gt;"",'Your debts'!$F$13&lt;'Your debts'!$F$6),AQ64,0)+IF(AND('Your debts'!$F$14&lt;&gt;"",'Your debts'!$F$6&lt;&gt;"",'Your debts'!$F$14&lt;'Your debts'!$F$6),AV64,0)+IF(AND('Your debts'!$F$15&lt;&gt;"",'Your debts'!$F$6&lt;&gt;"",'Your debts'!$F$15&lt;'Your debts'!$F$6),BA64,0)))))</f>
        <v/>
      </c>
      <c r="J64" s="33">
        <f>H64-I64</f>
        <v/>
      </c>
      <c r="K64" s="33">
        <f>IF(O63&lt;=0,0,ROUND(O63*(1+'Your debts'!$D$7/1200),2))</f>
        <v/>
      </c>
      <c r="L64" s="33">
        <f>IF(K64&lt;=0,0,MIN('Your debts'!$E$7,K64))</f>
        <v/>
      </c>
      <c r="M64" s="33">
        <f>K64-L64</f>
        <v/>
      </c>
      <c r="N64" s="33">
        <f>IF('Your debts'!$F$7="",0,MIN(M64,MAX(0,MAX(0,'Your debts'!$C$19-(G64+L64+Q64+V64+AA64+AF64+AK64+AP64+AU64+AZ64))-(IF(AND('Your debts'!$F$6&lt;&gt;"",'Your debts'!$F$7&lt;&gt;"",'Your debts'!$F$6&lt;'Your debts'!$F$7),H64,0)+IF(AND('Your debts'!$F$8&lt;&gt;"",'Your debts'!$F$7&lt;&gt;"",'Your debts'!$F$8&lt;'Your debts'!$F$7),R64,0)+IF(AND('Your debts'!$F$9&lt;&gt;"",'Your debts'!$F$7&lt;&gt;"",'Your debts'!$F$9&lt;'Your debts'!$F$7),W64,0)+IF(AND('Your debts'!$F$10&lt;&gt;"",'Your debts'!$F$7&lt;&gt;"",'Your debts'!$F$10&lt;'Your debts'!$F$7),AB64,0)+IF(AND('Your debts'!$F$11&lt;&gt;"",'Your debts'!$F$7&lt;&gt;"",'Your debts'!$F$11&lt;'Your debts'!$F$7),AG64,0)+IF(AND('Your debts'!$F$12&lt;&gt;"",'Your debts'!$F$7&lt;&gt;"",'Your debts'!$F$12&lt;'Your debts'!$F$7),AL64,0)+IF(AND('Your debts'!$F$13&lt;&gt;"",'Your debts'!$F$7&lt;&gt;"",'Your debts'!$F$13&lt;'Your debts'!$F$7),AQ64,0)+IF(AND('Your debts'!$F$14&lt;&gt;"",'Your debts'!$F$7&lt;&gt;"",'Your debts'!$F$14&lt;'Your debts'!$F$7),AV64,0)+IF(AND('Your debts'!$F$15&lt;&gt;"",'Your debts'!$F$7&lt;&gt;"",'Your debts'!$F$15&lt;'Your debts'!$F$7),BA64,0)))))</f>
        <v/>
      </c>
      <c r="O64" s="33">
        <f>M64-N64</f>
        <v/>
      </c>
      <c r="P64" s="33">
        <f>IF(T63&lt;=0,0,ROUND(T63*(1+'Your debts'!$D$8/1200),2))</f>
        <v/>
      </c>
      <c r="Q64" s="33">
        <f>IF(P64&lt;=0,0,MIN('Your debts'!$E$8,P64))</f>
        <v/>
      </c>
      <c r="R64" s="33">
        <f>P64-Q64</f>
        <v/>
      </c>
      <c r="S64" s="33">
        <f>IF('Your debts'!$F$8="",0,MIN(R64,MAX(0,MAX(0,'Your debts'!$C$19-(G64+L64+Q64+V64+AA64+AF64+AK64+AP64+AU64+AZ64))-(IF(AND('Your debts'!$F$6&lt;&gt;"",'Your debts'!$F$8&lt;&gt;"",'Your debts'!$F$6&lt;'Your debts'!$F$8),H64,0)+IF(AND('Your debts'!$F$7&lt;&gt;"",'Your debts'!$F$8&lt;&gt;"",'Your debts'!$F$7&lt;'Your debts'!$F$8),M64,0)+IF(AND('Your debts'!$F$9&lt;&gt;"",'Your debts'!$F$8&lt;&gt;"",'Your debts'!$F$9&lt;'Your debts'!$F$8),W64,0)+IF(AND('Your debts'!$F$10&lt;&gt;"",'Your debts'!$F$8&lt;&gt;"",'Your debts'!$F$10&lt;'Your debts'!$F$8),AB64,0)+IF(AND('Your debts'!$F$11&lt;&gt;"",'Your debts'!$F$8&lt;&gt;"",'Your debts'!$F$11&lt;'Your debts'!$F$8),AG64,0)+IF(AND('Your debts'!$F$12&lt;&gt;"",'Your debts'!$F$8&lt;&gt;"",'Your debts'!$F$12&lt;'Your debts'!$F$8),AL64,0)+IF(AND('Your debts'!$F$13&lt;&gt;"",'Your debts'!$F$8&lt;&gt;"",'Your debts'!$F$13&lt;'Your debts'!$F$8),AQ64,0)+IF(AND('Your debts'!$F$14&lt;&gt;"",'Your debts'!$F$8&lt;&gt;"",'Your debts'!$F$14&lt;'Your debts'!$F$8),AV64,0)+IF(AND('Your debts'!$F$15&lt;&gt;"",'Your debts'!$F$8&lt;&gt;"",'Your debts'!$F$15&lt;'Your debts'!$F$8),BA64,0)))))</f>
        <v/>
      </c>
      <c r="T64" s="33">
        <f>R64-S64</f>
        <v/>
      </c>
      <c r="U64" s="33">
        <f>IF(Y63&lt;=0,0,ROUND(Y63*(1+'Your debts'!$D$9/1200),2))</f>
        <v/>
      </c>
      <c r="V64" s="33">
        <f>IF(U64&lt;=0,0,MIN('Your debts'!$E$9,U64))</f>
        <v/>
      </c>
      <c r="W64" s="33">
        <f>U64-V64</f>
        <v/>
      </c>
      <c r="X64" s="33">
        <f>IF('Your debts'!$F$9="",0,MIN(W64,MAX(0,MAX(0,'Your debts'!$C$19-(G64+L64+Q64+V64+AA64+AF64+AK64+AP64+AU64+AZ64))-(IF(AND('Your debts'!$F$6&lt;&gt;"",'Your debts'!$F$9&lt;&gt;"",'Your debts'!$F$6&lt;'Your debts'!$F$9),H64,0)+IF(AND('Your debts'!$F$7&lt;&gt;"",'Your debts'!$F$9&lt;&gt;"",'Your debts'!$F$7&lt;'Your debts'!$F$9),M64,0)+IF(AND('Your debts'!$F$8&lt;&gt;"",'Your debts'!$F$9&lt;&gt;"",'Your debts'!$F$8&lt;'Your debts'!$F$9),R64,0)+IF(AND('Your debts'!$F$10&lt;&gt;"",'Your debts'!$F$9&lt;&gt;"",'Your debts'!$F$10&lt;'Your debts'!$F$9),AB64,0)+IF(AND('Your debts'!$F$11&lt;&gt;"",'Your debts'!$F$9&lt;&gt;"",'Your debts'!$F$11&lt;'Your debts'!$F$9),AG64,0)+IF(AND('Your debts'!$F$12&lt;&gt;"",'Your debts'!$F$9&lt;&gt;"",'Your debts'!$F$12&lt;'Your debts'!$F$9),AL64,0)+IF(AND('Your debts'!$F$13&lt;&gt;"",'Your debts'!$F$9&lt;&gt;"",'Your debts'!$F$13&lt;'Your debts'!$F$9),AQ64,0)+IF(AND('Your debts'!$F$14&lt;&gt;"",'Your debts'!$F$9&lt;&gt;"",'Your debts'!$F$14&lt;'Your debts'!$F$9),AV64,0)+IF(AND('Your debts'!$F$15&lt;&gt;"",'Your debts'!$F$9&lt;&gt;"",'Your debts'!$F$15&lt;'Your debts'!$F$9),BA64,0)))))</f>
        <v/>
      </c>
      <c r="Y64" s="33">
        <f>W64-X64</f>
        <v/>
      </c>
      <c r="Z64" s="33">
        <f>IF(AD63&lt;=0,0,ROUND(AD63*(1+'Your debts'!$D$10/1200),2))</f>
        <v/>
      </c>
      <c r="AA64" s="33">
        <f>IF(Z64&lt;=0,0,MIN('Your debts'!$E$10,Z64))</f>
        <v/>
      </c>
      <c r="AB64" s="33">
        <f>Z64-AA64</f>
        <v/>
      </c>
      <c r="AC64" s="33">
        <f>IF('Your debts'!$F$10="",0,MIN(AB64,MAX(0,MAX(0,'Your debts'!$C$19-(G64+L64+Q64+V64+AA64+AF64+AK64+AP64+AU64+AZ64))-(IF(AND('Your debts'!$F$6&lt;&gt;"",'Your debts'!$F$10&lt;&gt;"",'Your debts'!$F$6&lt;'Your debts'!$F$10),H64,0)+IF(AND('Your debts'!$F$7&lt;&gt;"",'Your debts'!$F$10&lt;&gt;"",'Your debts'!$F$7&lt;'Your debts'!$F$10),M64,0)+IF(AND('Your debts'!$F$8&lt;&gt;"",'Your debts'!$F$10&lt;&gt;"",'Your debts'!$F$8&lt;'Your debts'!$F$10),R64,0)+IF(AND('Your debts'!$F$9&lt;&gt;"",'Your debts'!$F$10&lt;&gt;"",'Your debts'!$F$9&lt;'Your debts'!$F$10),W64,0)+IF(AND('Your debts'!$F$11&lt;&gt;"",'Your debts'!$F$10&lt;&gt;"",'Your debts'!$F$11&lt;'Your debts'!$F$10),AG64,0)+IF(AND('Your debts'!$F$12&lt;&gt;"",'Your debts'!$F$10&lt;&gt;"",'Your debts'!$F$12&lt;'Your debts'!$F$10),AL64,0)+IF(AND('Your debts'!$F$13&lt;&gt;"",'Your debts'!$F$10&lt;&gt;"",'Your debts'!$F$13&lt;'Your debts'!$F$10),AQ64,0)+IF(AND('Your debts'!$F$14&lt;&gt;"",'Your debts'!$F$10&lt;&gt;"",'Your debts'!$F$14&lt;'Your debts'!$F$10),AV64,0)+IF(AND('Your debts'!$F$15&lt;&gt;"",'Your debts'!$F$10&lt;&gt;"",'Your debts'!$F$15&lt;'Your debts'!$F$10),BA64,0)))))</f>
        <v/>
      </c>
      <c r="AD64" s="33">
        <f>AB64-AC64</f>
        <v/>
      </c>
      <c r="AE64" s="33">
        <f>IF(AI63&lt;=0,0,ROUND(AI63*(1+'Your debts'!$D$11/1200),2))</f>
        <v/>
      </c>
      <c r="AF64" s="33">
        <f>IF(AE64&lt;=0,0,MIN('Your debts'!$E$11,AE64))</f>
        <v/>
      </c>
      <c r="AG64" s="33">
        <f>AE64-AF64</f>
        <v/>
      </c>
      <c r="AH64" s="33">
        <f>IF('Your debts'!$F$11="",0,MIN(AG64,MAX(0,MAX(0,'Your debts'!$C$19-(G64+L64+Q64+V64+AA64+AF64+AK64+AP64+AU64+AZ64))-(IF(AND('Your debts'!$F$6&lt;&gt;"",'Your debts'!$F$11&lt;&gt;"",'Your debts'!$F$6&lt;'Your debts'!$F$11),H64,0)+IF(AND('Your debts'!$F$7&lt;&gt;"",'Your debts'!$F$11&lt;&gt;"",'Your debts'!$F$7&lt;'Your debts'!$F$11),M64,0)+IF(AND('Your debts'!$F$8&lt;&gt;"",'Your debts'!$F$11&lt;&gt;"",'Your debts'!$F$8&lt;'Your debts'!$F$11),R64,0)+IF(AND('Your debts'!$F$9&lt;&gt;"",'Your debts'!$F$11&lt;&gt;"",'Your debts'!$F$9&lt;'Your debts'!$F$11),W64,0)+IF(AND('Your debts'!$F$10&lt;&gt;"",'Your debts'!$F$11&lt;&gt;"",'Your debts'!$F$10&lt;'Your debts'!$F$11),AB64,0)+IF(AND('Your debts'!$F$12&lt;&gt;"",'Your debts'!$F$11&lt;&gt;"",'Your debts'!$F$12&lt;'Your debts'!$F$11),AL64,0)+IF(AND('Your debts'!$F$13&lt;&gt;"",'Your debts'!$F$11&lt;&gt;"",'Your debts'!$F$13&lt;'Your debts'!$F$11),AQ64,0)+IF(AND('Your debts'!$F$14&lt;&gt;"",'Your debts'!$F$11&lt;&gt;"",'Your debts'!$F$14&lt;'Your debts'!$F$11),AV64,0)+IF(AND('Your debts'!$F$15&lt;&gt;"",'Your debts'!$F$11&lt;&gt;"",'Your debts'!$F$15&lt;'Your debts'!$F$11),BA64,0)))))</f>
        <v/>
      </c>
      <c r="AI64" s="33">
        <f>AG64-AH64</f>
        <v/>
      </c>
      <c r="AJ64" s="33">
        <f>IF(AN63&lt;=0,0,ROUND(AN63*(1+'Your debts'!$D$12/1200),2))</f>
        <v/>
      </c>
      <c r="AK64" s="33">
        <f>IF(AJ64&lt;=0,0,MIN('Your debts'!$E$12,AJ64))</f>
        <v/>
      </c>
      <c r="AL64" s="33">
        <f>AJ64-AK64</f>
        <v/>
      </c>
      <c r="AM64" s="33">
        <f>IF('Your debts'!$F$12="",0,MIN(AL64,MAX(0,MAX(0,'Your debts'!$C$19-(G64+L64+Q64+V64+AA64+AF64+AK64+AP64+AU64+AZ64))-(IF(AND('Your debts'!$F$6&lt;&gt;"",'Your debts'!$F$12&lt;&gt;"",'Your debts'!$F$6&lt;'Your debts'!$F$12),H64,0)+IF(AND('Your debts'!$F$7&lt;&gt;"",'Your debts'!$F$12&lt;&gt;"",'Your debts'!$F$7&lt;'Your debts'!$F$12),M64,0)+IF(AND('Your debts'!$F$8&lt;&gt;"",'Your debts'!$F$12&lt;&gt;"",'Your debts'!$F$8&lt;'Your debts'!$F$12),R64,0)+IF(AND('Your debts'!$F$9&lt;&gt;"",'Your debts'!$F$12&lt;&gt;"",'Your debts'!$F$9&lt;'Your debts'!$F$12),W64,0)+IF(AND('Your debts'!$F$10&lt;&gt;"",'Your debts'!$F$12&lt;&gt;"",'Your debts'!$F$10&lt;'Your debts'!$F$12),AB64,0)+IF(AND('Your debts'!$F$11&lt;&gt;"",'Your debts'!$F$12&lt;&gt;"",'Your debts'!$F$11&lt;'Your debts'!$F$12),AG64,0)+IF(AND('Your debts'!$F$13&lt;&gt;"",'Your debts'!$F$12&lt;&gt;"",'Your debts'!$F$13&lt;'Your debts'!$F$12),AQ64,0)+IF(AND('Your debts'!$F$14&lt;&gt;"",'Your debts'!$F$12&lt;&gt;"",'Your debts'!$F$14&lt;'Your debts'!$F$12),AV64,0)+IF(AND('Your debts'!$F$15&lt;&gt;"",'Your debts'!$F$12&lt;&gt;"",'Your debts'!$F$15&lt;'Your debts'!$F$12),BA64,0)))))</f>
        <v/>
      </c>
      <c r="AN64" s="33">
        <f>AL64-AM64</f>
        <v/>
      </c>
      <c r="AO64" s="33">
        <f>IF(AS63&lt;=0,0,ROUND(AS63*(1+'Your debts'!$D$13/1200),2))</f>
        <v/>
      </c>
      <c r="AP64" s="33">
        <f>IF(AO64&lt;=0,0,MIN('Your debts'!$E$13,AO64))</f>
        <v/>
      </c>
      <c r="AQ64" s="33">
        <f>AO64-AP64</f>
        <v/>
      </c>
      <c r="AR64" s="33">
        <f>IF('Your debts'!$F$13="",0,MIN(AQ64,MAX(0,MAX(0,'Your debts'!$C$19-(G64+L64+Q64+V64+AA64+AF64+AK64+AP64+AU64+AZ64))-(IF(AND('Your debts'!$F$6&lt;&gt;"",'Your debts'!$F$13&lt;&gt;"",'Your debts'!$F$6&lt;'Your debts'!$F$13),H64,0)+IF(AND('Your debts'!$F$7&lt;&gt;"",'Your debts'!$F$13&lt;&gt;"",'Your debts'!$F$7&lt;'Your debts'!$F$13),M64,0)+IF(AND('Your debts'!$F$8&lt;&gt;"",'Your debts'!$F$13&lt;&gt;"",'Your debts'!$F$8&lt;'Your debts'!$F$13),R64,0)+IF(AND('Your debts'!$F$9&lt;&gt;"",'Your debts'!$F$13&lt;&gt;"",'Your debts'!$F$9&lt;'Your debts'!$F$13),W64,0)+IF(AND('Your debts'!$F$10&lt;&gt;"",'Your debts'!$F$13&lt;&gt;"",'Your debts'!$F$10&lt;'Your debts'!$F$13),AB64,0)+IF(AND('Your debts'!$F$11&lt;&gt;"",'Your debts'!$F$13&lt;&gt;"",'Your debts'!$F$11&lt;'Your debts'!$F$13),AG64,0)+IF(AND('Your debts'!$F$12&lt;&gt;"",'Your debts'!$F$13&lt;&gt;"",'Your debts'!$F$12&lt;'Your debts'!$F$13),AL64,0)+IF(AND('Your debts'!$F$14&lt;&gt;"",'Your debts'!$F$13&lt;&gt;"",'Your debts'!$F$14&lt;'Your debts'!$F$13),AV64,0)+IF(AND('Your debts'!$F$15&lt;&gt;"",'Your debts'!$F$13&lt;&gt;"",'Your debts'!$F$15&lt;'Your debts'!$F$13),BA64,0)))))</f>
        <v/>
      </c>
      <c r="AS64" s="33">
        <f>AQ64-AR64</f>
        <v/>
      </c>
      <c r="AT64" s="33">
        <f>IF(AX63&lt;=0,0,ROUND(AX63*(1+'Your debts'!$D$14/1200),2))</f>
        <v/>
      </c>
      <c r="AU64" s="33">
        <f>IF(AT64&lt;=0,0,MIN('Your debts'!$E$14,AT64))</f>
        <v/>
      </c>
      <c r="AV64" s="33">
        <f>AT64-AU64</f>
        <v/>
      </c>
      <c r="AW64" s="33">
        <f>IF('Your debts'!$F$14="",0,MIN(AV64,MAX(0,MAX(0,'Your debts'!$C$19-(G64+L64+Q64+V64+AA64+AF64+AK64+AP64+AU64+AZ64))-(IF(AND('Your debts'!$F$6&lt;&gt;"",'Your debts'!$F$14&lt;&gt;"",'Your debts'!$F$6&lt;'Your debts'!$F$14),H64,0)+IF(AND('Your debts'!$F$7&lt;&gt;"",'Your debts'!$F$14&lt;&gt;"",'Your debts'!$F$7&lt;'Your debts'!$F$14),M64,0)+IF(AND('Your debts'!$F$8&lt;&gt;"",'Your debts'!$F$14&lt;&gt;"",'Your debts'!$F$8&lt;'Your debts'!$F$14),R64,0)+IF(AND('Your debts'!$F$9&lt;&gt;"",'Your debts'!$F$14&lt;&gt;"",'Your debts'!$F$9&lt;'Your debts'!$F$14),W64,0)+IF(AND('Your debts'!$F$10&lt;&gt;"",'Your debts'!$F$14&lt;&gt;"",'Your debts'!$F$10&lt;'Your debts'!$F$14),AB64,0)+IF(AND('Your debts'!$F$11&lt;&gt;"",'Your debts'!$F$14&lt;&gt;"",'Your debts'!$F$11&lt;'Your debts'!$F$14),AG64,0)+IF(AND('Your debts'!$F$12&lt;&gt;"",'Your debts'!$F$14&lt;&gt;"",'Your debts'!$F$12&lt;'Your debts'!$F$14),AL64,0)+IF(AND('Your debts'!$F$13&lt;&gt;"",'Your debts'!$F$14&lt;&gt;"",'Your debts'!$F$13&lt;'Your debts'!$F$14),AQ64,0)+IF(AND('Your debts'!$F$15&lt;&gt;"",'Your debts'!$F$14&lt;&gt;"",'Your debts'!$F$15&lt;'Your debts'!$F$14),BA64,0)))))</f>
        <v/>
      </c>
      <c r="AX64" s="33">
        <f>AV64-AW64</f>
        <v/>
      </c>
      <c r="AY64" s="33">
        <f>IF(BC63&lt;=0,0,ROUND(BC63*(1+'Your debts'!$D$15/1200),2))</f>
        <v/>
      </c>
      <c r="AZ64" s="33">
        <f>IF(AY64&lt;=0,0,MIN('Your debts'!$E$15,AY64))</f>
        <v/>
      </c>
      <c r="BA64" s="33">
        <f>AY64-AZ64</f>
        <v/>
      </c>
      <c r="BB64" s="33">
        <f>IF('Your debts'!$F$15="",0,MIN(BA64,MAX(0,MAX(0,'Your debts'!$C$19-(G64+L64+Q64+V64+AA64+AF64+AK64+AP64+AU64+AZ64))-(IF(AND('Your debts'!$F$6&lt;&gt;"",'Your debts'!$F$15&lt;&gt;"",'Your debts'!$F$6&lt;'Your debts'!$F$15),H64,0)+IF(AND('Your debts'!$F$7&lt;&gt;"",'Your debts'!$F$15&lt;&gt;"",'Your debts'!$F$7&lt;'Your debts'!$F$15),M64,0)+IF(AND('Your debts'!$F$8&lt;&gt;"",'Your debts'!$F$15&lt;&gt;"",'Your debts'!$F$8&lt;'Your debts'!$F$15),R64,0)+IF(AND('Your debts'!$F$9&lt;&gt;"",'Your debts'!$F$15&lt;&gt;"",'Your debts'!$F$9&lt;'Your debts'!$F$15),W64,0)+IF(AND('Your debts'!$F$10&lt;&gt;"",'Your debts'!$F$15&lt;&gt;"",'Your debts'!$F$10&lt;'Your debts'!$F$15),AB64,0)+IF(AND('Your debts'!$F$11&lt;&gt;"",'Your debts'!$F$15&lt;&gt;"",'Your debts'!$F$11&lt;'Your debts'!$F$15),AG64,0)+IF(AND('Your debts'!$F$12&lt;&gt;"",'Your debts'!$F$15&lt;&gt;"",'Your debts'!$F$12&lt;'Your debts'!$F$15),AL64,0)+IF(AND('Your debts'!$F$13&lt;&gt;"",'Your debts'!$F$15&lt;&gt;"",'Your debts'!$F$13&lt;'Your debts'!$F$15),AQ64,0)+IF(AND('Your debts'!$F$14&lt;&gt;"",'Your debts'!$F$15&lt;&gt;"",'Your debts'!$F$14&lt;'Your debts'!$F$15),AV64,0)))))</f>
        <v/>
      </c>
      <c r="BC64" s="33">
        <f>BA64-BB64</f>
        <v/>
      </c>
    </row>
    <row r="65">
      <c r="A65" s="30" t="n">
        <v>50</v>
      </c>
      <c r="B65" s="31">
        <f>EDATE($B$15,50)</f>
        <v/>
      </c>
      <c r="C65" s="32">
        <f>IF(J64&lt;=0,0,F65-J64)+IF(O64&lt;=0,0,K65-O64)+IF(T64&lt;=0,0,P65-T64)+IF(Y64&lt;=0,0,U65-Y64)+IF(AD64&lt;=0,0,Z65-AD64)+IF(AI64&lt;=0,0,AE65-AI64)+IF(AN64&lt;=0,0,AJ65-AN64)+IF(AS64&lt;=0,0,AO65-AS64)+IF(AX64&lt;=0,0,AT65-AX64)+IF(BC64&lt;=0,0,AY65-BC64)</f>
        <v/>
      </c>
      <c r="D65" s="32">
        <f>G65+I65+L65+N65+Q65+S65+V65+X65+AA65+AC65+AF65+AH65+AK65+AM65+AP65+AR65+AU65+AW65+AZ65+BB65</f>
        <v/>
      </c>
      <c r="E65" s="32">
        <f>J65+O65+T65+Y65+AD65+AI65+AN65+AS65+AX65+BC65</f>
        <v/>
      </c>
      <c r="F65" s="33">
        <f>IF(J64&lt;=0,0,ROUND(J64*(1+'Your debts'!$D$6/1200),2))</f>
        <v/>
      </c>
      <c r="G65" s="33">
        <f>IF(F65&lt;=0,0,MIN('Your debts'!$E$6,F65))</f>
        <v/>
      </c>
      <c r="H65" s="33">
        <f>F65-G65</f>
        <v/>
      </c>
      <c r="I65" s="33">
        <f>IF('Your debts'!$F$6="",0,MIN(H65,MAX(0,MAX(0,'Your debts'!$C$19-(G65+L65+Q65+V65+AA65+AF65+AK65+AP65+AU65+AZ65))-(IF(AND('Your debts'!$F$7&lt;&gt;"",'Your debts'!$F$6&lt;&gt;"",'Your debts'!$F$7&lt;'Your debts'!$F$6),M65,0)+IF(AND('Your debts'!$F$8&lt;&gt;"",'Your debts'!$F$6&lt;&gt;"",'Your debts'!$F$8&lt;'Your debts'!$F$6),R65,0)+IF(AND('Your debts'!$F$9&lt;&gt;"",'Your debts'!$F$6&lt;&gt;"",'Your debts'!$F$9&lt;'Your debts'!$F$6),W65,0)+IF(AND('Your debts'!$F$10&lt;&gt;"",'Your debts'!$F$6&lt;&gt;"",'Your debts'!$F$10&lt;'Your debts'!$F$6),AB65,0)+IF(AND('Your debts'!$F$11&lt;&gt;"",'Your debts'!$F$6&lt;&gt;"",'Your debts'!$F$11&lt;'Your debts'!$F$6),AG65,0)+IF(AND('Your debts'!$F$12&lt;&gt;"",'Your debts'!$F$6&lt;&gt;"",'Your debts'!$F$12&lt;'Your debts'!$F$6),AL65,0)+IF(AND('Your debts'!$F$13&lt;&gt;"",'Your debts'!$F$6&lt;&gt;"",'Your debts'!$F$13&lt;'Your debts'!$F$6),AQ65,0)+IF(AND('Your debts'!$F$14&lt;&gt;"",'Your debts'!$F$6&lt;&gt;"",'Your debts'!$F$14&lt;'Your debts'!$F$6),AV65,0)+IF(AND('Your debts'!$F$15&lt;&gt;"",'Your debts'!$F$6&lt;&gt;"",'Your debts'!$F$15&lt;'Your debts'!$F$6),BA65,0)))))</f>
        <v/>
      </c>
      <c r="J65" s="33">
        <f>H65-I65</f>
        <v/>
      </c>
      <c r="K65" s="33">
        <f>IF(O64&lt;=0,0,ROUND(O64*(1+'Your debts'!$D$7/1200),2))</f>
        <v/>
      </c>
      <c r="L65" s="33">
        <f>IF(K65&lt;=0,0,MIN('Your debts'!$E$7,K65))</f>
        <v/>
      </c>
      <c r="M65" s="33">
        <f>K65-L65</f>
        <v/>
      </c>
      <c r="N65" s="33">
        <f>IF('Your debts'!$F$7="",0,MIN(M65,MAX(0,MAX(0,'Your debts'!$C$19-(G65+L65+Q65+V65+AA65+AF65+AK65+AP65+AU65+AZ65))-(IF(AND('Your debts'!$F$6&lt;&gt;"",'Your debts'!$F$7&lt;&gt;"",'Your debts'!$F$6&lt;'Your debts'!$F$7),H65,0)+IF(AND('Your debts'!$F$8&lt;&gt;"",'Your debts'!$F$7&lt;&gt;"",'Your debts'!$F$8&lt;'Your debts'!$F$7),R65,0)+IF(AND('Your debts'!$F$9&lt;&gt;"",'Your debts'!$F$7&lt;&gt;"",'Your debts'!$F$9&lt;'Your debts'!$F$7),W65,0)+IF(AND('Your debts'!$F$10&lt;&gt;"",'Your debts'!$F$7&lt;&gt;"",'Your debts'!$F$10&lt;'Your debts'!$F$7),AB65,0)+IF(AND('Your debts'!$F$11&lt;&gt;"",'Your debts'!$F$7&lt;&gt;"",'Your debts'!$F$11&lt;'Your debts'!$F$7),AG65,0)+IF(AND('Your debts'!$F$12&lt;&gt;"",'Your debts'!$F$7&lt;&gt;"",'Your debts'!$F$12&lt;'Your debts'!$F$7),AL65,0)+IF(AND('Your debts'!$F$13&lt;&gt;"",'Your debts'!$F$7&lt;&gt;"",'Your debts'!$F$13&lt;'Your debts'!$F$7),AQ65,0)+IF(AND('Your debts'!$F$14&lt;&gt;"",'Your debts'!$F$7&lt;&gt;"",'Your debts'!$F$14&lt;'Your debts'!$F$7),AV65,0)+IF(AND('Your debts'!$F$15&lt;&gt;"",'Your debts'!$F$7&lt;&gt;"",'Your debts'!$F$15&lt;'Your debts'!$F$7),BA65,0)))))</f>
        <v/>
      </c>
      <c r="O65" s="33">
        <f>M65-N65</f>
        <v/>
      </c>
      <c r="P65" s="33">
        <f>IF(T64&lt;=0,0,ROUND(T64*(1+'Your debts'!$D$8/1200),2))</f>
        <v/>
      </c>
      <c r="Q65" s="33">
        <f>IF(P65&lt;=0,0,MIN('Your debts'!$E$8,P65))</f>
        <v/>
      </c>
      <c r="R65" s="33">
        <f>P65-Q65</f>
        <v/>
      </c>
      <c r="S65" s="33">
        <f>IF('Your debts'!$F$8="",0,MIN(R65,MAX(0,MAX(0,'Your debts'!$C$19-(G65+L65+Q65+V65+AA65+AF65+AK65+AP65+AU65+AZ65))-(IF(AND('Your debts'!$F$6&lt;&gt;"",'Your debts'!$F$8&lt;&gt;"",'Your debts'!$F$6&lt;'Your debts'!$F$8),H65,0)+IF(AND('Your debts'!$F$7&lt;&gt;"",'Your debts'!$F$8&lt;&gt;"",'Your debts'!$F$7&lt;'Your debts'!$F$8),M65,0)+IF(AND('Your debts'!$F$9&lt;&gt;"",'Your debts'!$F$8&lt;&gt;"",'Your debts'!$F$9&lt;'Your debts'!$F$8),W65,0)+IF(AND('Your debts'!$F$10&lt;&gt;"",'Your debts'!$F$8&lt;&gt;"",'Your debts'!$F$10&lt;'Your debts'!$F$8),AB65,0)+IF(AND('Your debts'!$F$11&lt;&gt;"",'Your debts'!$F$8&lt;&gt;"",'Your debts'!$F$11&lt;'Your debts'!$F$8),AG65,0)+IF(AND('Your debts'!$F$12&lt;&gt;"",'Your debts'!$F$8&lt;&gt;"",'Your debts'!$F$12&lt;'Your debts'!$F$8),AL65,0)+IF(AND('Your debts'!$F$13&lt;&gt;"",'Your debts'!$F$8&lt;&gt;"",'Your debts'!$F$13&lt;'Your debts'!$F$8),AQ65,0)+IF(AND('Your debts'!$F$14&lt;&gt;"",'Your debts'!$F$8&lt;&gt;"",'Your debts'!$F$14&lt;'Your debts'!$F$8),AV65,0)+IF(AND('Your debts'!$F$15&lt;&gt;"",'Your debts'!$F$8&lt;&gt;"",'Your debts'!$F$15&lt;'Your debts'!$F$8),BA65,0)))))</f>
        <v/>
      </c>
      <c r="T65" s="33">
        <f>R65-S65</f>
        <v/>
      </c>
      <c r="U65" s="33">
        <f>IF(Y64&lt;=0,0,ROUND(Y64*(1+'Your debts'!$D$9/1200),2))</f>
        <v/>
      </c>
      <c r="V65" s="33">
        <f>IF(U65&lt;=0,0,MIN('Your debts'!$E$9,U65))</f>
        <v/>
      </c>
      <c r="W65" s="33">
        <f>U65-V65</f>
        <v/>
      </c>
      <c r="X65" s="33">
        <f>IF('Your debts'!$F$9="",0,MIN(W65,MAX(0,MAX(0,'Your debts'!$C$19-(G65+L65+Q65+V65+AA65+AF65+AK65+AP65+AU65+AZ65))-(IF(AND('Your debts'!$F$6&lt;&gt;"",'Your debts'!$F$9&lt;&gt;"",'Your debts'!$F$6&lt;'Your debts'!$F$9),H65,0)+IF(AND('Your debts'!$F$7&lt;&gt;"",'Your debts'!$F$9&lt;&gt;"",'Your debts'!$F$7&lt;'Your debts'!$F$9),M65,0)+IF(AND('Your debts'!$F$8&lt;&gt;"",'Your debts'!$F$9&lt;&gt;"",'Your debts'!$F$8&lt;'Your debts'!$F$9),R65,0)+IF(AND('Your debts'!$F$10&lt;&gt;"",'Your debts'!$F$9&lt;&gt;"",'Your debts'!$F$10&lt;'Your debts'!$F$9),AB65,0)+IF(AND('Your debts'!$F$11&lt;&gt;"",'Your debts'!$F$9&lt;&gt;"",'Your debts'!$F$11&lt;'Your debts'!$F$9),AG65,0)+IF(AND('Your debts'!$F$12&lt;&gt;"",'Your debts'!$F$9&lt;&gt;"",'Your debts'!$F$12&lt;'Your debts'!$F$9),AL65,0)+IF(AND('Your debts'!$F$13&lt;&gt;"",'Your debts'!$F$9&lt;&gt;"",'Your debts'!$F$13&lt;'Your debts'!$F$9),AQ65,0)+IF(AND('Your debts'!$F$14&lt;&gt;"",'Your debts'!$F$9&lt;&gt;"",'Your debts'!$F$14&lt;'Your debts'!$F$9),AV65,0)+IF(AND('Your debts'!$F$15&lt;&gt;"",'Your debts'!$F$9&lt;&gt;"",'Your debts'!$F$15&lt;'Your debts'!$F$9),BA65,0)))))</f>
        <v/>
      </c>
      <c r="Y65" s="33">
        <f>W65-X65</f>
        <v/>
      </c>
      <c r="Z65" s="33">
        <f>IF(AD64&lt;=0,0,ROUND(AD64*(1+'Your debts'!$D$10/1200),2))</f>
        <v/>
      </c>
      <c r="AA65" s="33">
        <f>IF(Z65&lt;=0,0,MIN('Your debts'!$E$10,Z65))</f>
        <v/>
      </c>
      <c r="AB65" s="33">
        <f>Z65-AA65</f>
        <v/>
      </c>
      <c r="AC65" s="33">
        <f>IF('Your debts'!$F$10="",0,MIN(AB65,MAX(0,MAX(0,'Your debts'!$C$19-(G65+L65+Q65+V65+AA65+AF65+AK65+AP65+AU65+AZ65))-(IF(AND('Your debts'!$F$6&lt;&gt;"",'Your debts'!$F$10&lt;&gt;"",'Your debts'!$F$6&lt;'Your debts'!$F$10),H65,0)+IF(AND('Your debts'!$F$7&lt;&gt;"",'Your debts'!$F$10&lt;&gt;"",'Your debts'!$F$7&lt;'Your debts'!$F$10),M65,0)+IF(AND('Your debts'!$F$8&lt;&gt;"",'Your debts'!$F$10&lt;&gt;"",'Your debts'!$F$8&lt;'Your debts'!$F$10),R65,0)+IF(AND('Your debts'!$F$9&lt;&gt;"",'Your debts'!$F$10&lt;&gt;"",'Your debts'!$F$9&lt;'Your debts'!$F$10),W65,0)+IF(AND('Your debts'!$F$11&lt;&gt;"",'Your debts'!$F$10&lt;&gt;"",'Your debts'!$F$11&lt;'Your debts'!$F$10),AG65,0)+IF(AND('Your debts'!$F$12&lt;&gt;"",'Your debts'!$F$10&lt;&gt;"",'Your debts'!$F$12&lt;'Your debts'!$F$10),AL65,0)+IF(AND('Your debts'!$F$13&lt;&gt;"",'Your debts'!$F$10&lt;&gt;"",'Your debts'!$F$13&lt;'Your debts'!$F$10),AQ65,0)+IF(AND('Your debts'!$F$14&lt;&gt;"",'Your debts'!$F$10&lt;&gt;"",'Your debts'!$F$14&lt;'Your debts'!$F$10),AV65,0)+IF(AND('Your debts'!$F$15&lt;&gt;"",'Your debts'!$F$10&lt;&gt;"",'Your debts'!$F$15&lt;'Your debts'!$F$10),BA65,0)))))</f>
        <v/>
      </c>
      <c r="AD65" s="33">
        <f>AB65-AC65</f>
        <v/>
      </c>
      <c r="AE65" s="33">
        <f>IF(AI64&lt;=0,0,ROUND(AI64*(1+'Your debts'!$D$11/1200),2))</f>
        <v/>
      </c>
      <c r="AF65" s="33">
        <f>IF(AE65&lt;=0,0,MIN('Your debts'!$E$11,AE65))</f>
        <v/>
      </c>
      <c r="AG65" s="33">
        <f>AE65-AF65</f>
        <v/>
      </c>
      <c r="AH65" s="33">
        <f>IF('Your debts'!$F$11="",0,MIN(AG65,MAX(0,MAX(0,'Your debts'!$C$19-(G65+L65+Q65+V65+AA65+AF65+AK65+AP65+AU65+AZ65))-(IF(AND('Your debts'!$F$6&lt;&gt;"",'Your debts'!$F$11&lt;&gt;"",'Your debts'!$F$6&lt;'Your debts'!$F$11),H65,0)+IF(AND('Your debts'!$F$7&lt;&gt;"",'Your debts'!$F$11&lt;&gt;"",'Your debts'!$F$7&lt;'Your debts'!$F$11),M65,0)+IF(AND('Your debts'!$F$8&lt;&gt;"",'Your debts'!$F$11&lt;&gt;"",'Your debts'!$F$8&lt;'Your debts'!$F$11),R65,0)+IF(AND('Your debts'!$F$9&lt;&gt;"",'Your debts'!$F$11&lt;&gt;"",'Your debts'!$F$9&lt;'Your debts'!$F$11),W65,0)+IF(AND('Your debts'!$F$10&lt;&gt;"",'Your debts'!$F$11&lt;&gt;"",'Your debts'!$F$10&lt;'Your debts'!$F$11),AB65,0)+IF(AND('Your debts'!$F$12&lt;&gt;"",'Your debts'!$F$11&lt;&gt;"",'Your debts'!$F$12&lt;'Your debts'!$F$11),AL65,0)+IF(AND('Your debts'!$F$13&lt;&gt;"",'Your debts'!$F$11&lt;&gt;"",'Your debts'!$F$13&lt;'Your debts'!$F$11),AQ65,0)+IF(AND('Your debts'!$F$14&lt;&gt;"",'Your debts'!$F$11&lt;&gt;"",'Your debts'!$F$14&lt;'Your debts'!$F$11),AV65,0)+IF(AND('Your debts'!$F$15&lt;&gt;"",'Your debts'!$F$11&lt;&gt;"",'Your debts'!$F$15&lt;'Your debts'!$F$11),BA65,0)))))</f>
        <v/>
      </c>
      <c r="AI65" s="33">
        <f>AG65-AH65</f>
        <v/>
      </c>
      <c r="AJ65" s="33">
        <f>IF(AN64&lt;=0,0,ROUND(AN64*(1+'Your debts'!$D$12/1200),2))</f>
        <v/>
      </c>
      <c r="AK65" s="33">
        <f>IF(AJ65&lt;=0,0,MIN('Your debts'!$E$12,AJ65))</f>
        <v/>
      </c>
      <c r="AL65" s="33">
        <f>AJ65-AK65</f>
        <v/>
      </c>
      <c r="AM65" s="33">
        <f>IF('Your debts'!$F$12="",0,MIN(AL65,MAX(0,MAX(0,'Your debts'!$C$19-(G65+L65+Q65+V65+AA65+AF65+AK65+AP65+AU65+AZ65))-(IF(AND('Your debts'!$F$6&lt;&gt;"",'Your debts'!$F$12&lt;&gt;"",'Your debts'!$F$6&lt;'Your debts'!$F$12),H65,0)+IF(AND('Your debts'!$F$7&lt;&gt;"",'Your debts'!$F$12&lt;&gt;"",'Your debts'!$F$7&lt;'Your debts'!$F$12),M65,0)+IF(AND('Your debts'!$F$8&lt;&gt;"",'Your debts'!$F$12&lt;&gt;"",'Your debts'!$F$8&lt;'Your debts'!$F$12),R65,0)+IF(AND('Your debts'!$F$9&lt;&gt;"",'Your debts'!$F$12&lt;&gt;"",'Your debts'!$F$9&lt;'Your debts'!$F$12),W65,0)+IF(AND('Your debts'!$F$10&lt;&gt;"",'Your debts'!$F$12&lt;&gt;"",'Your debts'!$F$10&lt;'Your debts'!$F$12),AB65,0)+IF(AND('Your debts'!$F$11&lt;&gt;"",'Your debts'!$F$12&lt;&gt;"",'Your debts'!$F$11&lt;'Your debts'!$F$12),AG65,0)+IF(AND('Your debts'!$F$13&lt;&gt;"",'Your debts'!$F$12&lt;&gt;"",'Your debts'!$F$13&lt;'Your debts'!$F$12),AQ65,0)+IF(AND('Your debts'!$F$14&lt;&gt;"",'Your debts'!$F$12&lt;&gt;"",'Your debts'!$F$14&lt;'Your debts'!$F$12),AV65,0)+IF(AND('Your debts'!$F$15&lt;&gt;"",'Your debts'!$F$12&lt;&gt;"",'Your debts'!$F$15&lt;'Your debts'!$F$12),BA65,0)))))</f>
        <v/>
      </c>
      <c r="AN65" s="33">
        <f>AL65-AM65</f>
        <v/>
      </c>
      <c r="AO65" s="33">
        <f>IF(AS64&lt;=0,0,ROUND(AS64*(1+'Your debts'!$D$13/1200),2))</f>
        <v/>
      </c>
      <c r="AP65" s="33">
        <f>IF(AO65&lt;=0,0,MIN('Your debts'!$E$13,AO65))</f>
        <v/>
      </c>
      <c r="AQ65" s="33">
        <f>AO65-AP65</f>
        <v/>
      </c>
      <c r="AR65" s="33">
        <f>IF('Your debts'!$F$13="",0,MIN(AQ65,MAX(0,MAX(0,'Your debts'!$C$19-(G65+L65+Q65+V65+AA65+AF65+AK65+AP65+AU65+AZ65))-(IF(AND('Your debts'!$F$6&lt;&gt;"",'Your debts'!$F$13&lt;&gt;"",'Your debts'!$F$6&lt;'Your debts'!$F$13),H65,0)+IF(AND('Your debts'!$F$7&lt;&gt;"",'Your debts'!$F$13&lt;&gt;"",'Your debts'!$F$7&lt;'Your debts'!$F$13),M65,0)+IF(AND('Your debts'!$F$8&lt;&gt;"",'Your debts'!$F$13&lt;&gt;"",'Your debts'!$F$8&lt;'Your debts'!$F$13),R65,0)+IF(AND('Your debts'!$F$9&lt;&gt;"",'Your debts'!$F$13&lt;&gt;"",'Your debts'!$F$9&lt;'Your debts'!$F$13),W65,0)+IF(AND('Your debts'!$F$10&lt;&gt;"",'Your debts'!$F$13&lt;&gt;"",'Your debts'!$F$10&lt;'Your debts'!$F$13),AB65,0)+IF(AND('Your debts'!$F$11&lt;&gt;"",'Your debts'!$F$13&lt;&gt;"",'Your debts'!$F$11&lt;'Your debts'!$F$13),AG65,0)+IF(AND('Your debts'!$F$12&lt;&gt;"",'Your debts'!$F$13&lt;&gt;"",'Your debts'!$F$12&lt;'Your debts'!$F$13),AL65,0)+IF(AND('Your debts'!$F$14&lt;&gt;"",'Your debts'!$F$13&lt;&gt;"",'Your debts'!$F$14&lt;'Your debts'!$F$13),AV65,0)+IF(AND('Your debts'!$F$15&lt;&gt;"",'Your debts'!$F$13&lt;&gt;"",'Your debts'!$F$15&lt;'Your debts'!$F$13),BA65,0)))))</f>
        <v/>
      </c>
      <c r="AS65" s="33">
        <f>AQ65-AR65</f>
        <v/>
      </c>
      <c r="AT65" s="33">
        <f>IF(AX64&lt;=0,0,ROUND(AX64*(1+'Your debts'!$D$14/1200),2))</f>
        <v/>
      </c>
      <c r="AU65" s="33">
        <f>IF(AT65&lt;=0,0,MIN('Your debts'!$E$14,AT65))</f>
        <v/>
      </c>
      <c r="AV65" s="33">
        <f>AT65-AU65</f>
        <v/>
      </c>
      <c r="AW65" s="33">
        <f>IF('Your debts'!$F$14="",0,MIN(AV65,MAX(0,MAX(0,'Your debts'!$C$19-(G65+L65+Q65+V65+AA65+AF65+AK65+AP65+AU65+AZ65))-(IF(AND('Your debts'!$F$6&lt;&gt;"",'Your debts'!$F$14&lt;&gt;"",'Your debts'!$F$6&lt;'Your debts'!$F$14),H65,0)+IF(AND('Your debts'!$F$7&lt;&gt;"",'Your debts'!$F$14&lt;&gt;"",'Your debts'!$F$7&lt;'Your debts'!$F$14),M65,0)+IF(AND('Your debts'!$F$8&lt;&gt;"",'Your debts'!$F$14&lt;&gt;"",'Your debts'!$F$8&lt;'Your debts'!$F$14),R65,0)+IF(AND('Your debts'!$F$9&lt;&gt;"",'Your debts'!$F$14&lt;&gt;"",'Your debts'!$F$9&lt;'Your debts'!$F$14),W65,0)+IF(AND('Your debts'!$F$10&lt;&gt;"",'Your debts'!$F$14&lt;&gt;"",'Your debts'!$F$10&lt;'Your debts'!$F$14),AB65,0)+IF(AND('Your debts'!$F$11&lt;&gt;"",'Your debts'!$F$14&lt;&gt;"",'Your debts'!$F$11&lt;'Your debts'!$F$14),AG65,0)+IF(AND('Your debts'!$F$12&lt;&gt;"",'Your debts'!$F$14&lt;&gt;"",'Your debts'!$F$12&lt;'Your debts'!$F$14),AL65,0)+IF(AND('Your debts'!$F$13&lt;&gt;"",'Your debts'!$F$14&lt;&gt;"",'Your debts'!$F$13&lt;'Your debts'!$F$14),AQ65,0)+IF(AND('Your debts'!$F$15&lt;&gt;"",'Your debts'!$F$14&lt;&gt;"",'Your debts'!$F$15&lt;'Your debts'!$F$14),BA65,0)))))</f>
        <v/>
      </c>
      <c r="AX65" s="33">
        <f>AV65-AW65</f>
        <v/>
      </c>
      <c r="AY65" s="33">
        <f>IF(BC64&lt;=0,0,ROUND(BC64*(1+'Your debts'!$D$15/1200),2))</f>
        <v/>
      </c>
      <c r="AZ65" s="33">
        <f>IF(AY65&lt;=0,0,MIN('Your debts'!$E$15,AY65))</f>
        <v/>
      </c>
      <c r="BA65" s="33">
        <f>AY65-AZ65</f>
        <v/>
      </c>
      <c r="BB65" s="33">
        <f>IF('Your debts'!$F$15="",0,MIN(BA65,MAX(0,MAX(0,'Your debts'!$C$19-(G65+L65+Q65+V65+AA65+AF65+AK65+AP65+AU65+AZ65))-(IF(AND('Your debts'!$F$6&lt;&gt;"",'Your debts'!$F$15&lt;&gt;"",'Your debts'!$F$6&lt;'Your debts'!$F$15),H65,0)+IF(AND('Your debts'!$F$7&lt;&gt;"",'Your debts'!$F$15&lt;&gt;"",'Your debts'!$F$7&lt;'Your debts'!$F$15),M65,0)+IF(AND('Your debts'!$F$8&lt;&gt;"",'Your debts'!$F$15&lt;&gt;"",'Your debts'!$F$8&lt;'Your debts'!$F$15),R65,0)+IF(AND('Your debts'!$F$9&lt;&gt;"",'Your debts'!$F$15&lt;&gt;"",'Your debts'!$F$9&lt;'Your debts'!$F$15),W65,0)+IF(AND('Your debts'!$F$10&lt;&gt;"",'Your debts'!$F$15&lt;&gt;"",'Your debts'!$F$10&lt;'Your debts'!$F$15),AB65,0)+IF(AND('Your debts'!$F$11&lt;&gt;"",'Your debts'!$F$15&lt;&gt;"",'Your debts'!$F$11&lt;'Your debts'!$F$15),AG65,0)+IF(AND('Your debts'!$F$12&lt;&gt;"",'Your debts'!$F$15&lt;&gt;"",'Your debts'!$F$12&lt;'Your debts'!$F$15),AL65,0)+IF(AND('Your debts'!$F$13&lt;&gt;"",'Your debts'!$F$15&lt;&gt;"",'Your debts'!$F$13&lt;'Your debts'!$F$15),AQ65,0)+IF(AND('Your debts'!$F$14&lt;&gt;"",'Your debts'!$F$15&lt;&gt;"",'Your debts'!$F$14&lt;'Your debts'!$F$15),AV65,0)))))</f>
        <v/>
      </c>
      <c r="BC65" s="33">
        <f>BA65-BB65</f>
        <v/>
      </c>
    </row>
    <row r="66">
      <c r="A66" s="30" t="n">
        <v>51</v>
      </c>
      <c r="B66" s="31">
        <f>EDATE($B$15,51)</f>
        <v/>
      </c>
      <c r="C66" s="32">
        <f>IF(J65&lt;=0,0,F66-J65)+IF(O65&lt;=0,0,K66-O65)+IF(T65&lt;=0,0,P66-T65)+IF(Y65&lt;=0,0,U66-Y65)+IF(AD65&lt;=0,0,Z66-AD65)+IF(AI65&lt;=0,0,AE66-AI65)+IF(AN65&lt;=0,0,AJ66-AN65)+IF(AS65&lt;=0,0,AO66-AS65)+IF(AX65&lt;=0,0,AT66-AX65)+IF(BC65&lt;=0,0,AY66-BC65)</f>
        <v/>
      </c>
      <c r="D66" s="32">
        <f>G66+I66+L66+N66+Q66+S66+V66+X66+AA66+AC66+AF66+AH66+AK66+AM66+AP66+AR66+AU66+AW66+AZ66+BB66</f>
        <v/>
      </c>
      <c r="E66" s="32">
        <f>J66+O66+T66+Y66+AD66+AI66+AN66+AS66+AX66+BC66</f>
        <v/>
      </c>
      <c r="F66" s="33">
        <f>IF(J65&lt;=0,0,ROUND(J65*(1+'Your debts'!$D$6/1200),2))</f>
        <v/>
      </c>
      <c r="G66" s="33">
        <f>IF(F66&lt;=0,0,MIN('Your debts'!$E$6,F66))</f>
        <v/>
      </c>
      <c r="H66" s="33">
        <f>F66-G66</f>
        <v/>
      </c>
      <c r="I66" s="33">
        <f>IF('Your debts'!$F$6="",0,MIN(H66,MAX(0,MAX(0,'Your debts'!$C$19-(G66+L66+Q66+V66+AA66+AF66+AK66+AP66+AU66+AZ66))-(IF(AND('Your debts'!$F$7&lt;&gt;"",'Your debts'!$F$6&lt;&gt;"",'Your debts'!$F$7&lt;'Your debts'!$F$6),M66,0)+IF(AND('Your debts'!$F$8&lt;&gt;"",'Your debts'!$F$6&lt;&gt;"",'Your debts'!$F$8&lt;'Your debts'!$F$6),R66,0)+IF(AND('Your debts'!$F$9&lt;&gt;"",'Your debts'!$F$6&lt;&gt;"",'Your debts'!$F$9&lt;'Your debts'!$F$6),W66,0)+IF(AND('Your debts'!$F$10&lt;&gt;"",'Your debts'!$F$6&lt;&gt;"",'Your debts'!$F$10&lt;'Your debts'!$F$6),AB66,0)+IF(AND('Your debts'!$F$11&lt;&gt;"",'Your debts'!$F$6&lt;&gt;"",'Your debts'!$F$11&lt;'Your debts'!$F$6),AG66,0)+IF(AND('Your debts'!$F$12&lt;&gt;"",'Your debts'!$F$6&lt;&gt;"",'Your debts'!$F$12&lt;'Your debts'!$F$6),AL66,0)+IF(AND('Your debts'!$F$13&lt;&gt;"",'Your debts'!$F$6&lt;&gt;"",'Your debts'!$F$13&lt;'Your debts'!$F$6),AQ66,0)+IF(AND('Your debts'!$F$14&lt;&gt;"",'Your debts'!$F$6&lt;&gt;"",'Your debts'!$F$14&lt;'Your debts'!$F$6),AV66,0)+IF(AND('Your debts'!$F$15&lt;&gt;"",'Your debts'!$F$6&lt;&gt;"",'Your debts'!$F$15&lt;'Your debts'!$F$6),BA66,0)))))</f>
        <v/>
      </c>
      <c r="J66" s="33">
        <f>H66-I66</f>
        <v/>
      </c>
      <c r="K66" s="33">
        <f>IF(O65&lt;=0,0,ROUND(O65*(1+'Your debts'!$D$7/1200),2))</f>
        <v/>
      </c>
      <c r="L66" s="33">
        <f>IF(K66&lt;=0,0,MIN('Your debts'!$E$7,K66))</f>
        <v/>
      </c>
      <c r="M66" s="33">
        <f>K66-L66</f>
        <v/>
      </c>
      <c r="N66" s="33">
        <f>IF('Your debts'!$F$7="",0,MIN(M66,MAX(0,MAX(0,'Your debts'!$C$19-(G66+L66+Q66+V66+AA66+AF66+AK66+AP66+AU66+AZ66))-(IF(AND('Your debts'!$F$6&lt;&gt;"",'Your debts'!$F$7&lt;&gt;"",'Your debts'!$F$6&lt;'Your debts'!$F$7),H66,0)+IF(AND('Your debts'!$F$8&lt;&gt;"",'Your debts'!$F$7&lt;&gt;"",'Your debts'!$F$8&lt;'Your debts'!$F$7),R66,0)+IF(AND('Your debts'!$F$9&lt;&gt;"",'Your debts'!$F$7&lt;&gt;"",'Your debts'!$F$9&lt;'Your debts'!$F$7),W66,0)+IF(AND('Your debts'!$F$10&lt;&gt;"",'Your debts'!$F$7&lt;&gt;"",'Your debts'!$F$10&lt;'Your debts'!$F$7),AB66,0)+IF(AND('Your debts'!$F$11&lt;&gt;"",'Your debts'!$F$7&lt;&gt;"",'Your debts'!$F$11&lt;'Your debts'!$F$7),AG66,0)+IF(AND('Your debts'!$F$12&lt;&gt;"",'Your debts'!$F$7&lt;&gt;"",'Your debts'!$F$12&lt;'Your debts'!$F$7),AL66,0)+IF(AND('Your debts'!$F$13&lt;&gt;"",'Your debts'!$F$7&lt;&gt;"",'Your debts'!$F$13&lt;'Your debts'!$F$7),AQ66,0)+IF(AND('Your debts'!$F$14&lt;&gt;"",'Your debts'!$F$7&lt;&gt;"",'Your debts'!$F$14&lt;'Your debts'!$F$7),AV66,0)+IF(AND('Your debts'!$F$15&lt;&gt;"",'Your debts'!$F$7&lt;&gt;"",'Your debts'!$F$15&lt;'Your debts'!$F$7),BA66,0)))))</f>
        <v/>
      </c>
      <c r="O66" s="33">
        <f>M66-N66</f>
        <v/>
      </c>
      <c r="P66" s="33">
        <f>IF(T65&lt;=0,0,ROUND(T65*(1+'Your debts'!$D$8/1200),2))</f>
        <v/>
      </c>
      <c r="Q66" s="33">
        <f>IF(P66&lt;=0,0,MIN('Your debts'!$E$8,P66))</f>
        <v/>
      </c>
      <c r="R66" s="33">
        <f>P66-Q66</f>
        <v/>
      </c>
      <c r="S66" s="33">
        <f>IF('Your debts'!$F$8="",0,MIN(R66,MAX(0,MAX(0,'Your debts'!$C$19-(G66+L66+Q66+V66+AA66+AF66+AK66+AP66+AU66+AZ66))-(IF(AND('Your debts'!$F$6&lt;&gt;"",'Your debts'!$F$8&lt;&gt;"",'Your debts'!$F$6&lt;'Your debts'!$F$8),H66,0)+IF(AND('Your debts'!$F$7&lt;&gt;"",'Your debts'!$F$8&lt;&gt;"",'Your debts'!$F$7&lt;'Your debts'!$F$8),M66,0)+IF(AND('Your debts'!$F$9&lt;&gt;"",'Your debts'!$F$8&lt;&gt;"",'Your debts'!$F$9&lt;'Your debts'!$F$8),W66,0)+IF(AND('Your debts'!$F$10&lt;&gt;"",'Your debts'!$F$8&lt;&gt;"",'Your debts'!$F$10&lt;'Your debts'!$F$8),AB66,0)+IF(AND('Your debts'!$F$11&lt;&gt;"",'Your debts'!$F$8&lt;&gt;"",'Your debts'!$F$11&lt;'Your debts'!$F$8),AG66,0)+IF(AND('Your debts'!$F$12&lt;&gt;"",'Your debts'!$F$8&lt;&gt;"",'Your debts'!$F$12&lt;'Your debts'!$F$8),AL66,0)+IF(AND('Your debts'!$F$13&lt;&gt;"",'Your debts'!$F$8&lt;&gt;"",'Your debts'!$F$13&lt;'Your debts'!$F$8),AQ66,0)+IF(AND('Your debts'!$F$14&lt;&gt;"",'Your debts'!$F$8&lt;&gt;"",'Your debts'!$F$14&lt;'Your debts'!$F$8),AV66,0)+IF(AND('Your debts'!$F$15&lt;&gt;"",'Your debts'!$F$8&lt;&gt;"",'Your debts'!$F$15&lt;'Your debts'!$F$8),BA66,0)))))</f>
        <v/>
      </c>
      <c r="T66" s="33">
        <f>R66-S66</f>
        <v/>
      </c>
      <c r="U66" s="33">
        <f>IF(Y65&lt;=0,0,ROUND(Y65*(1+'Your debts'!$D$9/1200),2))</f>
        <v/>
      </c>
      <c r="V66" s="33">
        <f>IF(U66&lt;=0,0,MIN('Your debts'!$E$9,U66))</f>
        <v/>
      </c>
      <c r="W66" s="33">
        <f>U66-V66</f>
        <v/>
      </c>
      <c r="X66" s="33">
        <f>IF('Your debts'!$F$9="",0,MIN(W66,MAX(0,MAX(0,'Your debts'!$C$19-(G66+L66+Q66+V66+AA66+AF66+AK66+AP66+AU66+AZ66))-(IF(AND('Your debts'!$F$6&lt;&gt;"",'Your debts'!$F$9&lt;&gt;"",'Your debts'!$F$6&lt;'Your debts'!$F$9),H66,0)+IF(AND('Your debts'!$F$7&lt;&gt;"",'Your debts'!$F$9&lt;&gt;"",'Your debts'!$F$7&lt;'Your debts'!$F$9),M66,0)+IF(AND('Your debts'!$F$8&lt;&gt;"",'Your debts'!$F$9&lt;&gt;"",'Your debts'!$F$8&lt;'Your debts'!$F$9),R66,0)+IF(AND('Your debts'!$F$10&lt;&gt;"",'Your debts'!$F$9&lt;&gt;"",'Your debts'!$F$10&lt;'Your debts'!$F$9),AB66,0)+IF(AND('Your debts'!$F$11&lt;&gt;"",'Your debts'!$F$9&lt;&gt;"",'Your debts'!$F$11&lt;'Your debts'!$F$9),AG66,0)+IF(AND('Your debts'!$F$12&lt;&gt;"",'Your debts'!$F$9&lt;&gt;"",'Your debts'!$F$12&lt;'Your debts'!$F$9),AL66,0)+IF(AND('Your debts'!$F$13&lt;&gt;"",'Your debts'!$F$9&lt;&gt;"",'Your debts'!$F$13&lt;'Your debts'!$F$9),AQ66,0)+IF(AND('Your debts'!$F$14&lt;&gt;"",'Your debts'!$F$9&lt;&gt;"",'Your debts'!$F$14&lt;'Your debts'!$F$9),AV66,0)+IF(AND('Your debts'!$F$15&lt;&gt;"",'Your debts'!$F$9&lt;&gt;"",'Your debts'!$F$15&lt;'Your debts'!$F$9),BA66,0)))))</f>
        <v/>
      </c>
      <c r="Y66" s="33">
        <f>W66-X66</f>
        <v/>
      </c>
      <c r="Z66" s="33">
        <f>IF(AD65&lt;=0,0,ROUND(AD65*(1+'Your debts'!$D$10/1200),2))</f>
        <v/>
      </c>
      <c r="AA66" s="33">
        <f>IF(Z66&lt;=0,0,MIN('Your debts'!$E$10,Z66))</f>
        <v/>
      </c>
      <c r="AB66" s="33">
        <f>Z66-AA66</f>
        <v/>
      </c>
      <c r="AC66" s="33">
        <f>IF('Your debts'!$F$10="",0,MIN(AB66,MAX(0,MAX(0,'Your debts'!$C$19-(G66+L66+Q66+V66+AA66+AF66+AK66+AP66+AU66+AZ66))-(IF(AND('Your debts'!$F$6&lt;&gt;"",'Your debts'!$F$10&lt;&gt;"",'Your debts'!$F$6&lt;'Your debts'!$F$10),H66,0)+IF(AND('Your debts'!$F$7&lt;&gt;"",'Your debts'!$F$10&lt;&gt;"",'Your debts'!$F$7&lt;'Your debts'!$F$10),M66,0)+IF(AND('Your debts'!$F$8&lt;&gt;"",'Your debts'!$F$10&lt;&gt;"",'Your debts'!$F$8&lt;'Your debts'!$F$10),R66,0)+IF(AND('Your debts'!$F$9&lt;&gt;"",'Your debts'!$F$10&lt;&gt;"",'Your debts'!$F$9&lt;'Your debts'!$F$10),W66,0)+IF(AND('Your debts'!$F$11&lt;&gt;"",'Your debts'!$F$10&lt;&gt;"",'Your debts'!$F$11&lt;'Your debts'!$F$10),AG66,0)+IF(AND('Your debts'!$F$12&lt;&gt;"",'Your debts'!$F$10&lt;&gt;"",'Your debts'!$F$12&lt;'Your debts'!$F$10),AL66,0)+IF(AND('Your debts'!$F$13&lt;&gt;"",'Your debts'!$F$10&lt;&gt;"",'Your debts'!$F$13&lt;'Your debts'!$F$10),AQ66,0)+IF(AND('Your debts'!$F$14&lt;&gt;"",'Your debts'!$F$10&lt;&gt;"",'Your debts'!$F$14&lt;'Your debts'!$F$10),AV66,0)+IF(AND('Your debts'!$F$15&lt;&gt;"",'Your debts'!$F$10&lt;&gt;"",'Your debts'!$F$15&lt;'Your debts'!$F$10),BA66,0)))))</f>
        <v/>
      </c>
      <c r="AD66" s="33">
        <f>AB66-AC66</f>
        <v/>
      </c>
      <c r="AE66" s="33">
        <f>IF(AI65&lt;=0,0,ROUND(AI65*(1+'Your debts'!$D$11/1200),2))</f>
        <v/>
      </c>
      <c r="AF66" s="33">
        <f>IF(AE66&lt;=0,0,MIN('Your debts'!$E$11,AE66))</f>
        <v/>
      </c>
      <c r="AG66" s="33">
        <f>AE66-AF66</f>
        <v/>
      </c>
      <c r="AH66" s="33">
        <f>IF('Your debts'!$F$11="",0,MIN(AG66,MAX(0,MAX(0,'Your debts'!$C$19-(G66+L66+Q66+V66+AA66+AF66+AK66+AP66+AU66+AZ66))-(IF(AND('Your debts'!$F$6&lt;&gt;"",'Your debts'!$F$11&lt;&gt;"",'Your debts'!$F$6&lt;'Your debts'!$F$11),H66,0)+IF(AND('Your debts'!$F$7&lt;&gt;"",'Your debts'!$F$11&lt;&gt;"",'Your debts'!$F$7&lt;'Your debts'!$F$11),M66,0)+IF(AND('Your debts'!$F$8&lt;&gt;"",'Your debts'!$F$11&lt;&gt;"",'Your debts'!$F$8&lt;'Your debts'!$F$11),R66,0)+IF(AND('Your debts'!$F$9&lt;&gt;"",'Your debts'!$F$11&lt;&gt;"",'Your debts'!$F$9&lt;'Your debts'!$F$11),W66,0)+IF(AND('Your debts'!$F$10&lt;&gt;"",'Your debts'!$F$11&lt;&gt;"",'Your debts'!$F$10&lt;'Your debts'!$F$11),AB66,0)+IF(AND('Your debts'!$F$12&lt;&gt;"",'Your debts'!$F$11&lt;&gt;"",'Your debts'!$F$12&lt;'Your debts'!$F$11),AL66,0)+IF(AND('Your debts'!$F$13&lt;&gt;"",'Your debts'!$F$11&lt;&gt;"",'Your debts'!$F$13&lt;'Your debts'!$F$11),AQ66,0)+IF(AND('Your debts'!$F$14&lt;&gt;"",'Your debts'!$F$11&lt;&gt;"",'Your debts'!$F$14&lt;'Your debts'!$F$11),AV66,0)+IF(AND('Your debts'!$F$15&lt;&gt;"",'Your debts'!$F$11&lt;&gt;"",'Your debts'!$F$15&lt;'Your debts'!$F$11),BA66,0)))))</f>
        <v/>
      </c>
      <c r="AI66" s="33">
        <f>AG66-AH66</f>
        <v/>
      </c>
      <c r="AJ66" s="33">
        <f>IF(AN65&lt;=0,0,ROUND(AN65*(1+'Your debts'!$D$12/1200),2))</f>
        <v/>
      </c>
      <c r="AK66" s="33">
        <f>IF(AJ66&lt;=0,0,MIN('Your debts'!$E$12,AJ66))</f>
        <v/>
      </c>
      <c r="AL66" s="33">
        <f>AJ66-AK66</f>
        <v/>
      </c>
      <c r="AM66" s="33">
        <f>IF('Your debts'!$F$12="",0,MIN(AL66,MAX(0,MAX(0,'Your debts'!$C$19-(G66+L66+Q66+V66+AA66+AF66+AK66+AP66+AU66+AZ66))-(IF(AND('Your debts'!$F$6&lt;&gt;"",'Your debts'!$F$12&lt;&gt;"",'Your debts'!$F$6&lt;'Your debts'!$F$12),H66,0)+IF(AND('Your debts'!$F$7&lt;&gt;"",'Your debts'!$F$12&lt;&gt;"",'Your debts'!$F$7&lt;'Your debts'!$F$12),M66,0)+IF(AND('Your debts'!$F$8&lt;&gt;"",'Your debts'!$F$12&lt;&gt;"",'Your debts'!$F$8&lt;'Your debts'!$F$12),R66,0)+IF(AND('Your debts'!$F$9&lt;&gt;"",'Your debts'!$F$12&lt;&gt;"",'Your debts'!$F$9&lt;'Your debts'!$F$12),W66,0)+IF(AND('Your debts'!$F$10&lt;&gt;"",'Your debts'!$F$12&lt;&gt;"",'Your debts'!$F$10&lt;'Your debts'!$F$12),AB66,0)+IF(AND('Your debts'!$F$11&lt;&gt;"",'Your debts'!$F$12&lt;&gt;"",'Your debts'!$F$11&lt;'Your debts'!$F$12),AG66,0)+IF(AND('Your debts'!$F$13&lt;&gt;"",'Your debts'!$F$12&lt;&gt;"",'Your debts'!$F$13&lt;'Your debts'!$F$12),AQ66,0)+IF(AND('Your debts'!$F$14&lt;&gt;"",'Your debts'!$F$12&lt;&gt;"",'Your debts'!$F$14&lt;'Your debts'!$F$12),AV66,0)+IF(AND('Your debts'!$F$15&lt;&gt;"",'Your debts'!$F$12&lt;&gt;"",'Your debts'!$F$15&lt;'Your debts'!$F$12),BA66,0)))))</f>
        <v/>
      </c>
      <c r="AN66" s="33">
        <f>AL66-AM66</f>
        <v/>
      </c>
      <c r="AO66" s="33">
        <f>IF(AS65&lt;=0,0,ROUND(AS65*(1+'Your debts'!$D$13/1200),2))</f>
        <v/>
      </c>
      <c r="AP66" s="33">
        <f>IF(AO66&lt;=0,0,MIN('Your debts'!$E$13,AO66))</f>
        <v/>
      </c>
      <c r="AQ66" s="33">
        <f>AO66-AP66</f>
        <v/>
      </c>
      <c r="AR66" s="33">
        <f>IF('Your debts'!$F$13="",0,MIN(AQ66,MAX(0,MAX(0,'Your debts'!$C$19-(G66+L66+Q66+V66+AA66+AF66+AK66+AP66+AU66+AZ66))-(IF(AND('Your debts'!$F$6&lt;&gt;"",'Your debts'!$F$13&lt;&gt;"",'Your debts'!$F$6&lt;'Your debts'!$F$13),H66,0)+IF(AND('Your debts'!$F$7&lt;&gt;"",'Your debts'!$F$13&lt;&gt;"",'Your debts'!$F$7&lt;'Your debts'!$F$13),M66,0)+IF(AND('Your debts'!$F$8&lt;&gt;"",'Your debts'!$F$13&lt;&gt;"",'Your debts'!$F$8&lt;'Your debts'!$F$13),R66,0)+IF(AND('Your debts'!$F$9&lt;&gt;"",'Your debts'!$F$13&lt;&gt;"",'Your debts'!$F$9&lt;'Your debts'!$F$13),W66,0)+IF(AND('Your debts'!$F$10&lt;&gt;"",'Your debts'!$F$13&lt;&gt;"",'Your debts'!$F$10&lt;'Your debts'!$F$13),AB66,0)+IF(AND('Your debts'!$F$11&lt;&gt;"",'Your debts'!$F$13&lt;&gt;"",'Your debts'!$F$11&lt;'Your debts'!$F$13),AG66,0)+IF(AND('Your debts'!$F$12&lt;&gt;"",'Your debts'!$F$13&lt;&gt;"",'Your debts'!$F$12&lt;'Your debts'!$F$13),AL66,0)+IF(AND('Your debts'!$F$14&lt;&gt;"",'Your debts'!$F$13&lt;&gt;"",'Your debts'!$F$14&lt;'Your debts'!$F$13),AV66,0)+IF(AND('Your debts'!$F$15&lt;&gt;"",'Your debts'!$F$13&lt;&gt;"",'Your debts'!$F$15&lt;'Your debts'!$F$13),BA66,0)))))</f>
        <v/>
      </c>
      <c r="AS66" s="33">
        <f>AQ66-AR66</f>
        <v/>
      </c>
      <c r="AT66" s="33">
        <f>IF(AX65&lt;=0,0,ROUND(AX65*(1+'Your debts'!$D$14/1200),2))</f>
        <v/>
      </c>
      <c r="AU66" s="33">
        <f>IF(AT66&lt;=0,0,MIN('Your debts'!$E$14,AT66))</f>
        <v/>
      </c>
      <c r="AV66" s="33">
        <f>AT66-AU66</f>
        <v/>
      </c>
      <c r="AW66" s="33">
        <f>IF('Your debts'!$F$14="",0,MIN(AV66,MAX(0,MAX(0,'Your debts'!$C$19-(G66+L66+Q66+V66+AA66+AF66+AK66+AP66+AU66+AZ66))-(IF(AND('Your debts'!$F$6&lt;&gt;"",'Your debts'!$F$14&lt;&gt;"",'Your debts'!$F$6&lt;'Your debts'!$F$14),H66,0)+IF(AND('Your debts'!$F$7&lt;&gt;"",'Your debts'!$F$14&lt;&gt;"",'Your debts'!$F$7&lt;'Your debts'!$F$14),M66,0)+IF(AND('Your debts'!$F$8&lt;&gt;"",'Your debts'!$F$14&lt;&gt;"",'Your debts'!$F$8&lt;'Your debts'!$F$14),R66,0)+IF(AND('Your debts'!$F$9&lt;&gt;"",'Your debts'!$F$14&lt;&gt;"",'Your debts'!$F$9&lt;'Your debts'!$F$14),W66,0)+IF(AND('Your debts'!$F$10&lt;&gt;"",'Your debts'!$F$14&lt;&gt;"",'Your debts'!$F$10&lt;'Your debts'!$F$14),AB66,0)+IF(AND('Your debts'!$F$11&lt;&gt;"",'Your debts'!$F$14&lt;&gt;"",'Your debts'!$F$11&lt;'Your debts'!$F$14),AG66,0)+IF(AND('Your debts'!$F$12&lt;&gt;"",'Your debts'!$F$14&lt;&gt;"",'Your debts'!$F$12&lt;'Your debts'!$F$14),AL66,0)+IF(AND('Your debts'!$F$13&lt;&gt;"",'Your debts'!$F$14&lt;&gt;"",'Your debts'!$F$13&lt;'Your debts'!$F$14),AQ66,0)+IF(AND('Your debts'!$F$15&lt;&gt;"",'Your debts'!$F$14&lt;&gt;"",'Your debts'!$F$15&lt;'Your debts'!$F$14),BA66,0)))))</f>
        <v/>
      </c>
      <c r="AX66" s="33">
        <f>AV66-AW66</f>
        <v/>
      </c>
      <c r="AY66" s="33">
        <f>IF(BC65&lt;=0,0,ROUND(BC65*(1+'Your debts'!$D$15/1200),2))</f>
        <v/>
      </c>
      <c r="AZ66" s="33">
        <f>IF(AY66&lt;=0,0,MIN('Your debts'!$E$15,AY66))</f>
        <v/>
      </c>
      <c r="BA66" s="33">
        <f>AY66-AZ66</f>
        <v/>
      </c>
      <c r="BB66" s="33">
        <f>IF('Your debts'!$F$15="",0,MIN(BA66,MAX(0,MAX(0,'Your debts'!$C$19-(G66+L66+Q66+V66+AA66+AF66+AK66+AP66+AU66+AZ66))-(IF(AND('Your debts'!$F$6&lt;&gt;"",'Your debts'!$F$15&lt;&gt;"",'Your debts'!$F$6&lt;'Your debts'!$F$15),H66,0)+IF(AND('Your debts'!$F$7&lt;&gt;"",'Your debts'!$F$15&lt;&gt;"",'Your debts'!$F$7&lt;'Your debts'!$F$15),M66,0)+IF(AND('Your debts'!$F$8&lt;&gt;"",'Your debts'!$F$15&lt;&gt;"",'Your debts'!$F$8&lt;'Your debts'!$F$15),R66,0)+IF(AND('Your debts'!$F$9&lt;&gt;"",'Your debts'!$F$15&lt;&gt;"",'Your debts'!$F$9&lt;'Your debts'!$F$15),W66,0)+IF(AND('Your debts'!$F$10&lt;&gt;"",'Your debts'!$F$15&lt;&gt;"",'Your debts'!$F$10&lt;'Your debts'!$F$15),AB66,0)+IF(AND('Your debts'!$F$11&lt;&gt;"",'Your debts'!$F$15&lt;&gt;"",'Your debts'!$F$11&lt;'Your debts'!$F$15),AG66,0)+IF(AND('Your debts'!$F$12&lt;&gt;"",'Your debts'!$F$15&lt;&gt;"",'Your debts'!$F$12&lt;'Your debts'!$F$15),AL66,0)+IF(AND('Your debts'!$F$13&lt;&gt;"",'Your debts'!$F$15&lt;&gt;"",'Your debts'!$F$13&lt;'Your debts'!$F$15),AQ66,0)+IF(AND('Your debts'!$F$14&lt;&gt;"",'Your debts'!$F$15&lt;&gt;"",'Your debts'!$F$14&lt;'Your debts'!$F$15),AV66,0)))))</f>
        <v/>
      </c>
      <c r="BC66" s="33">
        <f>BA66-BB66</f>
        <v/>
      </c>
    </row>
    <row r="67">
      <c r="A67" s="30" t="n">
        <v>52</v>
      </c>
      <c r="B67" s="31">
        <f>EDATE($B$15,52)</f>
        <v/>
      </c>
      <c r="C67" s="32">
        <f>IF(J66&lt;=0,0,F67-J66)+IF(O66&lt;=0,0,K67-O66)+IF(T66&lt;=0,0,P67-T66)+IF(Y66&lt;=0,0,U67-Y66)+IF(AD66&lt;=0,0,Z67-AD66)+IF(AI66&lt;=0,0,AE67-AI66)+IF(AN66&lt;=0,0,AJ67-AN66)+IF(AS66&lt;=0,0,AO67-AS66)+IF(AX66&lt;=0,0,AT67-AX66)+IF(BC66&lt;=0,0,AY67-BC66)</f>
        <v/>
      </c>
      <c r="D67" s="32">
        <f>G67+I67+L67+N67+Q67+S67+V67+X67+AA67+AC67+AF67+AH67+AK67+AM67+AP67+AR67+AU67+AW67+AZ67+BB67</f>
        <v/>
      </c>
      <c r="E67" s="32">
        <f>J67+O67+T67+Y67+AD67+AI67+AN67+AS67+AX67+BC67</f>
        <v/>
      </c>
      <c r="F67" s="33">
        <f>IF(J66&lt;=0,0,ROUND(J66*(1+'Your debts'!$D$6/1200),2))</f>
        <v/>
      </c>
      <c r="G67" s="33">
        <f>IF(F67&lt;=0,0,MIN('Your debts'!$E$6,F67))</f>
        <v/>
      </c>
      <c r="H67" s="33">
        <f>F67-G67</f>
        <v/>
      </c>
      <c r="I67" s="33">
        <f>IF('Your debts'!$F$6="",0,MIN(H67,MAX(0,MAX(0,'Your debts'!$C$19-(G67+L67+Q67+V67+AA67+AF67+AK67+AP67+AU67+AZ67))-(IF(AND('Your debts'!$F$7&lt;&gt;"",'Your debts'!$F$6&lt;&gt;"",'Your debts'!$F$7&lt;'Your debts'!$F$6),M67,0)+IF(AND('Your debts'!$F$8&lt;&gt;"",'Your debts'!$F$6&lt;&gt;"",'Your debts'!$F$8&lt;'Your debts'!$F$6),R67,0)+IF(AND('Your debts'!$F$9&lt;&gt;"",'Your debts'!$F$6&lt;&gt;"",'Your debts'!$F$9&lt;'Your debts'!$F$6),W67,0)+IF(AND('Your debts'!$F$10&lt;&gt;"",'Your debts'!$F$6&lt;&gt;"",'Your debts'!$F$10&lt;'Your debts'!$F$6),AB67,0)+IF(AND('Your debts'!$F$11&lt;&gt;"",'Your debts'!$F$6&lt;&gt;"",'Your debts'!$F$11&lt;'Your debts'!$F$6),AG67,0)+IF(AND('Your debts'!$F$12&lt;&gt;"",'Your debts'!$F$6&lt;&gt;"",'Your debts'!$F$12&lt;'Your debts'!$F$6),AL67,0)+IF(AND('Your debts'!$F$13&lt;&gt;"",'Your debts'!$F$6&lt;&gt;"",'Your debts'!$F$13&lt;'Your debts'!$F$6),AQ67,0)+IF(AND('Your debts'!$F$14&lt;&gt;"",'Your debts'!$F$6&lt;&gt;"",'Your debts'!$F$14&lt;'Your debts'!$F$6),AV67,0)+IF(AND('Your debts'!$F$15&lt;&gt;"",'Your debts'!$F$6&lt;&gt;"",'Your debts'!$F$15&lt;'Your debts'!$F$6),BA67,0)))))</f>
        <v/>
      </c>
      <c r="J67" s="33">
        <f>H67-I67</f>
        <v/>
      </c>
      <c r="K67" s="33">
        <f>IF(O66&lt;=0,0,ROUND(O66*(1+'Your debts'!$D$7/1200),2))</f>
        <v/>
      </c>
      <c r="L67" s="33">
        <f>IF(K67&lt;=0,0,MIN('Your debts'!$E$7,K67))</f>
        <v/>
      </c>
      <c r="M67" s="33">
        <f>K67-L67</f>
        <v/>
      </c>
      <c r="N67" s="33">
        <f>IF('Your debts'!$F$7="",0,MIN(M67,MAX(0,MAX(0,'Your debts'!$C$19-(G67+L67+Q67+V67+AA67+AF67+AK67+AP67+AU67+AZ67))-(IF(AND('Your debts'!$F$6&lt;&gt;"",'Your debts'!$F$7&lt;&gt;"",'Your debts'!$F$6&lt;'Your debts'!$F$7),H67,0)+IF(AND('Your debts'!$F$8&lt;&gt;"",'Your debts'!$F$7&lt;&gt;"",'Your debts'!$F$8&lt;'Your debts'!$F$7),R67,0)+IF(AND('Your debts'!$F$9&lt;&gt;"",'Your debts'!$F$7&lt;&gt;"",'Your debts'!$F$9&lt;'Your debts'!$F$7),W67,0)+IF(AND('Your debts'!$F$10&lt;&gt;"",'Your debts'!$F$7&lt;&gt;"",'Your debts'!$F$10&lt;'Your debts'!$F$7),AB67,0)+IF(AND('Your debts'!$F$11&lt;&gt;"",'Your debts'!$F$7&lt;&gt;"",'Your debts'!$F$11&lt;'Your debts'!$F$7),AG67,0)+IF(AND('Your debts'!$F$12&lt;&gt;"",'Your debts'!$F$7&lt;&gt;"",'Your debts'!$F$12&lt;'Your debts'!$F$7),AL67,0)+IF(AND('Your debts'!$F$13&lt;&gt;"",'Your debts'!$F$7&lt;&gt;"",'Your debts'!$F$13&lt;'Your debts'!$F$7),AQ67,0)+IF(AND('Your debts'!$F$14&lt;&gt;"",'Your debts'!$F$7&lt;&gt;"",'Your debts'!$F$14&lt;'Your debts'!$F$7),AV67,0)+IF(AND('Your debts'!$F$15&lt;&gt;"",'Your debts'!$F$7&lt;&gt;"",'Your debts'!$F$15&lt;'Your debts'!$F$7),BA67,0)))))</f>
        <v/>
      </c>
      <c r="O67" s="33">
        <f>M67-N67</f>
        <v/>
      </c>
      <c r="P67" s="33">
        <f>IF(T66&lt;=0,0,ROUND(T66*(1+'Your debts'!$D$8/1200),2))</f>
        <v/>
      </c>
      <c r="Q67" s="33">
        <f>IF(P67&lt;=0,0,MIN('Your debts'!$E$8,P67))</f>
        <v/>
      </c>
      <c r="R67" s="33">
        <f>P67-Q67</f>
        <v/>
      </c>
      <c r="S67" s="33">
        <f>IF('Your debts'!$F$8="",0,MIN(R67,MAX(0,MAX(0,'Your debts'!$C$19-(G67+L67+Q67+V67+AA67+AF67+AK67+AP67+AU67+AZ67))-(IF(AND('Your debts'!$F$6&lt;&gt;"",'Your debts'!$F$8&lt;&gt;"",'Your debts'!$F$6&lt;'Your debts'!$F$8),H67,0)+IF(AND('Your debts'!$F$7&lt;&gt;"",'Your debts'!$F$8&lt;&gt;"",'Your debts'!$F$7&lt;'Your debts'!$F$8),M67,0)+IF(AND('Your debts'!$F$9&lt;&gt;"",'Your debts'!$F$8&lt;&gt;"",'Your debts'!$F$9&lt;'Your debts'!$F$8),W67,0)+IF(AND('Your debts'!$F$10&lt;&gt;"",'Your debts'!$F$8&lt;&gt;"",'Your debts'!$F$10&lt;'Your debts'!$F$8),AB67,0)+IF(AND('Your debts'!$F$11&lt;&gt;"",'Your debts'!$F$8&lt;&gt;"",'Your debts'!$F$11&lt;'Your debts'!$F$8),AG67,0)+IF(AND('Your debts'!$F$12&lt;&gt;"",'Your debts'!$F$8&lt;&gt;"",'Your debts'!$F$12&lt;'Your debts'!$F$8),AL67,0)+IF(AND('Your debts'!$F$13&lt;&gt;"",'Your debts'!$F$8&lt;&gt;"",'Your debts'!$F$13&lt;'Your debts'!$F$8),AQ67,0)+IF(AND('Your debts'!$F$14&lt;&gt;"",'Your debts'!$F$8&lt;&gt;"",'Your debts'!$F$14&lt;'Your debts'!$F$8),AV67,0)+IF(AND('Your debts'!$F$15&lt;&gt;"",'Your debts'!$F$8&lt;&gt;"",'Your debts'!$F$15&lt;'Your debts'!$F$8),BA67,0)))))</f>
        <v/>
      </c>
      <c r="T67" s="33">
        <f>R67-S67</f>
        <v/>
      </c>
      <c r="U67" s="33">
        <f>IF(Y66&lt;=0,0,ROUND(Y66*(1+'Your debts'!$D$9/1200),2))</f>
        <v/>
      </c>
      <c r="V67" s="33">
        <f>IF(U67&lt;=0,0,MIN('Your debts'!$E$9,U67))</f>
        <v/>
      </c>
      <c r="W67" s="33">
        <f>U67-V67</f>
        <v/>
      </c>
      <c r="X67" s="33">
        <f>IF('Your debts'!$F$9="",0,MIN(W67,MAX(0,MAX(0,'Your debts'!$C$19-(G67+L67+Q67+V67+AA67+AF67+AK67+AP67+AU67+AZ67))-(IF(AND('Your debts'!$F$6&lt;&gt;"",'Your debts'!$F$9&lt;&gt;"",'Your debts'!$F$6&lt;'Your debts'!$F$9),H67,0)+IF(AND('Your debts'!$F$7&lt;&gt;"",'Your debts'!$F$9&lt;&gt;"",'Your debts'!$F$7&lt;'Your debts'!$F$9),M67,0)+IF(AND('Your debts'!$F$8&lt;&gt;"",'Your debts'!$F$9&lt;&gt;"",'Your debts'!$F$8&lt;'Your debts'!$F$9),R67,0)+IF(AND('Your debts'!$F$10&lt;&gt;"",'Your debts'!$F$9&lt;&gt;"",'Your debts'!$F$10&lt;'Your debts'!$F$9),AB67,0)+IF(AND('Your debts'!$F$11&lt;&gt;"",'Your debts'!$F$9&lt;&gt;"",'Your debts'!$F$11&lt;'Your debts'!$F$9),AG67,0)+IF(AND('Your debts'!$F$12&lt;&gt;"",'Your debts'!$F$9&lt;&gt;"",'Your debts'!$F$12&lt;'Your debts'!$F$9),AL67,0)+IF(AND('Your debts'!$F$13&lt;&gt;"",'Your debts'!$F$9&lt;&gt;"",'Your debts'!$F$13&lt;'Your debts'!$F$9),AQ67,0)+IF(AND('Your debts'!$F$14&lt;&gt;"",'Your debts'!$F$9&lt;&gt;"",'Your debts'!$F$14&lt;'Your debts'!$F$9),AV67,0)+IF(AND('Your debts'!$F$15&lt;&gt;"",'Your debts'!$F$9&lt;&gt;"",'Your debts'!$F$15&lt;'Your debts'!$F$9),BA67,0)))))</f>
        <v/>
      </c>
      <c r="Y67" s="33">
        <f>W67-X67</f>
        <v/>
      </c>
      <c r="Z67" s="33">
        <f>IF(AD66&lt;=0,0,ROUND(AD66*(1+'Your debts'!$D$10/1200),2))</f>
        <v/>
      </c>
      <c r="AA67" s="33">
        <f>IF(Z67&lt;=0,0,MIN('Your debts'!$E$10,Z67))</f>
        <v/>
      </c>
      <c r="AB67" s="33">
        <f>Z67-AA67</f>
        <v/>
      </c>
      <c r="AC67" s="33">
        <f>IF('Your debts'!$F$10="",0,MIN(AB67,MAX(0,MAX(0,'Your debts'!$C$19-(G67+L67+Q67+V67+AA67+AF67+AK67+AP67+AU67+AZ67))-(IF(AND('Your debts'!$F$6&lt;&gt;"",'Your debts'!$F$10&lt;&gt;"",'Your debts'!$F$6&lt;'Your debts'!$F$10),H67,0)+IF(AND('Your debts'!$F$7&lt;&gt;"",'Your debts'!$F$10&lt;&gt;"",'Your debts'!$F$7&lt;'Your debts'!$F$10),M67,0)+IF(AND('Your debts'!$F$8&lt;&gt;"",'Your debts'!$F$10&lt;&gt;"",'Your debts'!$F$8&lt;'Your debts'!$F$10),R67,0)+IF(AND('Your debts'!$F$9&lt;&gt;"",'Your debts'!$F$10&lt;&gt;"",'Your debts'!$F$9&lt;'Your debts'!$F$10),W67,0)+IF(AND('Your debts'!$F$11&lt;&gt;"",'Your debts'!$F$10&lt;&gt;"",'Your debts'!$F$11&lt;'Your debts'!$F$10),AG67,0)+IF(AND('Your debts'!$F$12&lt;&gt;"",'Your debts'!$F$10&lt;&gt;"",'Your debts'!$F$12&lt;'Your debts'!$F$10),AL67,0)+IF(AND('Your debts'!$F$13&lt;&gt;"",'Your debts'!$F$10&lt;&gt;"",'Your debts'!$F$13&lt;'Your debts'!$F$10),AQ67,0)+IF(AND('Your debts'!$F$14&lt;&gt;"",'Your debts'!$F$10&lt;&gt;"",'Your debts'!$F$14&lt;'Your debts'!$F$10),AV67,0)+IF(AND('Your debts'!$F$15&lt;&gt;"",'Your debts'!$F$10&lt;&gt;"",'Your debts'!$F$15&lt;'Your debts'!$F$10),BA67,0)))))</f>
        <v/>
      </c>
      <c r="AD67" s="33">
        <f>AB67-AC67</f>
        <v/>
      </c>
      <c r="AE67" s="33">
        <f>IF(AI66&lt;=0,0,ROUND(AI66*(1+'Your debts'!$D$11/1200),2))</f>
        <v/>
      </c>
      <c r="AF67" s="33">
        <f>IF(AE67&lt;=0,0,MIN('Your debts'!$E$11,AE67))</f>
        <v/>
      </c>
      <c r="AG67" s="33">
        <f>AE67-AF67</f>
        <v/>
      </c>
      <c r="AH67" s="33">
        <f>IF('Your debts'!$F$11="",0,MIN(AG67,MAX(0,MAX(0,'Your debts'!$C$19-(G67+L67+Q67+V67+AA67+AF67+AK67+AP67+AU67+AZ67))-(IF(AND('Your debts'!$F$6&lt;&gt;"",'Your debts'!$F$11&lt;&gt;"",'Your debts'!$F$6&lt;'Your debts'!$F$11),H67,0)+IF(AND('Your debts'!$F$7&lt;&gt;"",'Your debts'!$F$11&lt;&gt;"",'Your debts'!$F$7&lt;'Your debts'!$F$11),M67,0)+IF(AND('Your debts'!$F$8&lt;&gt;"",'Your debts'!$F$11&lt;&gt;"",'Your debts'!$F$8&lt;'Your debts'!$F$11),R67,0)+IF(AND('Your debts'!$F$9&lt;&gt;"",'Your debts'!$F$11&lt;&gt;"",'Your debts'!$F$9&lt;'Your debts'!$F$11),W67,0)+IF(AND('Your debts'!$F$10&lt;&gt;"",'Your debts'!$F$11&lt;&gt;"",'Your debts'!$F$10&lt;'Your debts'!$F$11),AB67,0)+IF(AND('Your debts'!$F$12&lt;&gt;"",'Your debts'!$F$11&lt;&gt;"",'Your debts'!$F$12&lt;'Your debts'!$F$11),AL67,0)+IF(AND('Your debts'!$F$13&lt;&gt;"",'Your debts'!$F$11&lt;&gt;"",'Your debts'!$F$13&lt;'Your debts'!$F$11),AQ67,0)+IF(AND('Your debts'!$F$14&lt;&gt;"",'Your debts'!$F$11&lt;&gt;"",'Your debts'!$F$14&lt;'Your debts'!$F$11),AV67,0)+IF(AND('Your debts'!$F$15&lt;&gt;"",'Your debts'!$F$11&lt;&gt;"",'Your debts'!$F$15&lt;'Your debts'!$F$11),BA67,0)))))</f>
        <v/>
      </c>
      <c r="AI67" s="33">
        <f>AG67-AH67</f>
        <v/>
      </c>
      <c r="AJ67" s="33">
        <f>IF(AN66&lt;=0,0,ROUND(AN66*(1+'Your debts'!$D$12/1200),2))</f>
        <v/>
      </c>
      <c r="AK67" s="33">
        <f>IF(AJ67&lt;=0,0,MIN('Your debts'!$E$12,AJ67))</f>
        <v/>
      </c>
      <c r="AL67" s="33">
        <f>AJ67-AK67</f>
        <v/>
      </c>
      <c r="AM67" s="33">
        <f>IF('Your debts'!$F$12="",0,MIN(AL67,MAX(0,MAX(0,'Your debts'!$C$19-(G67+L67+Q67+V67+AA67+AF67+AK67+AP67+AU67+AZ67))-(IF(AND('Your debts'!$F$6&lt;&gt;"",'Your debts'!$F$12&lt;&gt;"",'Your debts'!$F$6&lt;'Your debts'!$F$12),H67,0)+IF(AND('Your debts'!$F$7&lt;&gt;"",'Your debts'!$F$12&lt;&gt;"",'Your debts'!$F$7&lt;'Your debts'!$F$12),M67,0)+IF(AND('Your debts'!$F$8&lt;&gt;"",'Your debts'!$F$12&lt;&gt;"",'Your debts'!$F$8&lt;'Your debts'!$F$12),R67,0)+IF(AND('Your debts'!$F$9&lt;&gt;"",'Your debts'!$F$12&lt;&gt;"",'Your debts'!$F$9&lt;'Your debts'!$F$12),W67,0)+IF(AND('Your debts'!$F$10&lt;&gt;"",'Your debts'!$F$12&lt;&gt;"",'Your debts'!$F$10&lt;'Your debts'!$F$12),AB67,0)+IF(AND('Your debts'!$F$11&lt;&gt;"",'Your debts'!$F$12&lt;&gt;"",'Your debts'!$F$11&lt;'Your debts'!$F$12),AG67,0)+IF(AND('Your debts'!$F$13&lt;&gt;"",'Your debts'!$F$12&lt;&gt;"",'Your debts'!$F$13&lt;'Your debts'!$F$12),AQ67,0)+IF(AND('Your debts'!$F$14&lt;&gt;"",'Your debts'!$F$12&lt;&gt;"",'Your debts'!$F$14&lt;'Your debts'!$F$12),AV67,0)+IF(AND('Your debts'!$F$15&lt;&gt;"",'Your debts'!$F$12&lt;&gt;"",'Your debts'!$F$15&lt;'Your debts'!$F$12),BA67,0)))))</f>
        <v/>
      </c>
      <c r="AN67" s="33">
        <f>AL67-AM67</f>
        <v/>
      </c>
      <c r="AO67" s="33">
        <f>IF(AS66&lt;=0,0,ROUND(AS66*(1+'Your debts'!$D$13/1200),2))</f>
        <v/>
      </c>
      <c r="AP67" s="33">
        <f>IF(AO67&lt;=0,0,MIN('Your debts'!$E$13,AO67))</f>
        <v/>
      </c>
      <c r="AQ67" s="33">
        <f>AO67-AP67</f>
        <v/>
      </c>
      <c r="AR67" s="33">
        <f>IF('Your debts'!$F$13="",0,MIN(AQ67,MAX(0,MAX(0,'Your debts'!$C$19-(G67+L67+Q67+V67+AA67+AF67+AK67+AP67+AU67+AZ67))-(IF(AND('Your debts'!$F$6&lt;&gt;"",'Your debts'!$F$13&lt;&gt;"",'Your debts'!$F$6&lt;'Your debts'!$F$13),H67,0)+IF(AND('Your debts'!$F$7&lt;&gt;"",'Your debts'!$F$13&lt;&gt;"",'Your debts'!$F$7&lt;'Your debts'!$F$13),M67,0)+IF(AND('Your debts'!$F$8&lt;&gt;"",'Your debts'!$F$13&lt;&gt;"",'Your debts'!$F$8&lt;'Your debts'!$F$13),R67,0)+IF(AND('Your debts'!$F$9&lt;&gt;"",'Your debts'!$F$13&lt;&gt;"",'Your debts'!$F$9&lt;'Your debts'!$F$13),W67,0)+IF(AND('Your debts'!$F$10&lt;&gt;"",'Your debts'!$F$13&lt;&gt;"",'Your debts'!$F$10&lt;'Your debts'!$F$13),AB67,0)+IF(AND('Your debts'!$F$11&lt;&gt;"",'Your debts'!$F$13&lt;&gt;"",'Your debts'!$F$11&lt;'Your debts'!$F$13),AG67,0)+IF(AND('Your debts'!$F$12&lt;&gt;"",'Your debts'!$F$13&lt;&gt;"",'Your debts'!$F$12&lt;'Your debts'!$F$13),AL67,0)+IF(AND('Your debts'!$F$14&lt;&gt;"",'Your debts'!$F$13&lt;&gt;"",'Your debts'!$F$14&lt;'Your debts'!$F$13),AV67,0)+IF(AND('Your debts'!$F$15&lt;&gt;"",'Your debts'!$F$13&lt;&gt;"",'Your debts'!$F$15&lt;'Your debts'!$F$13),BA67,0)))))</f>
        <v/>
      </c>
      <c r="AS67" s="33">
        <f>AQ67-AR67</f>
        <v/>
      </c>
      <c r="AT67" s="33">
        <f>IF(AX66&lt;=0,0,ROUND(AX66*(1+'Your debts'!$D$14/1200),2))</f>
        <v/>
      </c>
      <c r="AU67" s="33">
        <f>IF(AT67&lt;=0,0,MIN('Your debts'!$E$14,AT67))</f>
        <v/>
      </c>
      <c r="AV67" s="33">
        <f>AT67-AU67</f>
        <v/>
      </c>
      <c r="AW67" s="33">
        <f>IF('Your debts'!$F$14="",0,MIN(AV67,MAX(0,MAX(0,'Your debts'!$C$19-(G67+L67+Q67+V67+AA67+AF67+AK67+AP67+AU67+AZ67))-(IF(AND('Your debts'!$F$6&lt;&gt;"",'Your debts'!$F$14&lt;&gt;"",'Your debts'!$F$6&lt;'Your debts'!$F$14),H67,0)+IF(AND('Your debts'!$F$7&lt;&gt;"",'Your debts'!$F$14&lt;&gt;"",'Your debts'!$F$7&lt;'Your debts'!$F$14),M67,0)+IF(AND('Your debts'!$F$8&lt;&gt;"",'Your debts'!$F$14&lt;&gt;"",'Your debts'!$F$8&lt;'Your debts'!$F$14),R67,0)+IF(AND('Your debts'!$F$9&lt;&gt;"",'Your debts'!$F$14&lt;&gt;"",'Your debts'!$F$9&lt;'Your debts'!$F$14),W67,0)+IF(AND('Your debts'!$F$10&lt;&gt;"",'Your debts'!$F$14&lt;&gt;"",'Your debts'!$F$10&lt;'Your debts'!$F$14),AB67,0)+IF(AND('Your debts'!$F$11&lt;&gt;"",'Your debts'!$F$14&lt;&gt;"",'Your debts'!$F$11&lt;'Your debts'!$F$14),AG67,0)+IF(AND('Your debts'!$F$12&lt;&gt;"",'Your debts'!$F$14&lt;&gt;"",'Your debts'!$F$12&lt;'Your debts'!$F$14),AL67,0)+IF(AND('Your debts'!$F$13&lt;&gt;"",'Your debts'!$F$14&lt;&gt;"",'Your debts'!$F$13&lt;'Your debts'!$F$14),AQ67,0)+IF(AND('Your debts'!$F$15&lt;&gt;"",'Your debts'!$F$14&lt;&gt;"",'Your debts'!$F$15&lt;'Your debts'!$F$14),BA67,0)))))</f>
        <v/>
      </c>
      <c r="AX67" s="33">
        <f>AV67-AW67</f>
        <v/>
      </c>
      <c r="AY67" s="33">
        <f>IF(BC66&lt;=0,0,ROUND(BC66*(1+'Your debts'!$D$15/1200),2))</f>
        <v/>
      </c>
      <c r="AZ67" s="33">
        <f>IF(AY67&lt;=0,0,MIN('Your debts'!$E$15,AY67))</f>
        <v/>
      </c>
      <c r="BA67" s="33">
        <f>AY67-AZ67</f>
        <v/>
      </c>
      <c r="BB67" s="33">
        <f>IF('Your debts'!$F$15="",0,MIN(BA67,MAX(0,MAX(0,'Your debts'!$C$19-(G67+L67+Q67+V67+AA67+AF67+AK67+AP67+AU67+AZ67))-(IF(AND('Your debts'!$F$6&lt;&gt;"",'Your debts'!$F$15&lt;&gt;"",'Your debts'!$F$6&lt;'Your debts'!$F$15),H67,0)+IF(AND('Your debts'!$F$7&lt;&gt;"",'Your debts'!$F$15&lt;&gt;"",'Your debts'!$F$7&lt;'Your debts'!$F$15),M67,0)+IF(AND('Your debts'!$F$8&lt;&gt;"",'Your debts'!$F$15&lt;&gt;"",'Your debts'!$F$8&lt;'Your debts'!$F$15),R67,0)+IF(AND('Your debts'!$F$9&lt;&gt;"",'Your debts'!$F$15&lt;&gt;"",'Your debts'!$F$9&lt;'Your debts'!$F$15),W67,0)+IF(AND('Your debts'!$F$10&lt;&gt;"",'Your debts'!$F$15&lt;&gt;"",'Your debts'!$F$10&lt;'Your debts'!$F$15),AB67,0)+IF(AND('Your debts'!$F$11&lt;&gt;"",'Your debts'!$F$15&lt;&gt;"",'Your debts'!$F$11&lt;'Your debts'!$F$15),AG67,0)+IF(AND('Your debts'!$F$12&lt;&gt;"",'Your debts'!$F$15&lt;&gt;"",'Your debts'!$F$12&lt;'Your debts'!$F$15),AL67,0)+IF(AND('Your debts'!$F$13&lt;&gt;"",'Your debts'!$F$15&lt;&gt;"",'Your debts'!$F$13&lt;'Your debts'!$F$15),AQ67,0)+IF(AND('Your debts'!$F$14&lt;&gt;"",'Your debts'!$F$15&lt;&gt;"",'Your debts'!$F$14&lt;'Your debts'!$F$15),AV67,0)))))</f>
        <v/>
      </c>
      <c r="BC67" s="33">
        <f>BA67-BB67</f>
        <v/>
      </c>
    </row>
    <row r="68">
      <c r="A68" s="30" t="n">
        <v>53</v>
      </c>
      <c r="B68" s="31">
        <f>EDATE($B$15,53)</f>
        <v/>
      </c>
      <c r="C68" s="32">
        <f>IF(J67&lt;=0,0,F68-J67)+IF(O67&lt;=0,0,K68-O67)+IF(T67&lt;=0,0,P68-T67)+IF(Y67&lt;=0,0,U68-Y67)+IF(AD67&lt;=0,0,Z68-AD67)+IF(AI67&lt;=0,0,AE68-AI67)+IF(AN67&lt;=0,0,AJ68-AN67)+IF(AS67&lt;=0,0,AO68-AS67)+IF(AX67&lt;=0,0,AT68-AX67)+IF(BC67&lt;=0,0,AY68-BC67)</f>
        <v/>
      </c>
      <c r="D68" s="32">
        <f>G68+I68+L68+N68+Q68+S68+V68+X68+AA68+AC68+AF68+AH68+AK68+AM68+AP68+AR68+AU68+AW68+AZ68+BB68</f>
        <v/>
      </c>
      <c r="E68" s="32">
        <f>J68+O68+T68+Y68+AD68+AI68+AN68+AS68+AX68+BC68</f>
        <v/>
      </c>
      <c r="F68" s="33">
        <f>IF(J67&lt;=0,0,ROUND(J67*(1+'Your debts'!$D$6/1200),2))</f>
        <v/>
      </c>
      <c r="G68" s="33">
        <f>IF(F68&lt;=0,0,MIN('Your debts'!$E$6,F68))</f>
        <v/>
      </c>
      <c r="H68" s="33">
        <f>F68-G68</f>
        <v/>
      </c>
      <c r="I68" s="33">
        <f>IF('Your debts'!$F$6="",0,MIN(H68,MAX(0,MAX(0,'Your debts'!$C$19-(G68+L68+Q68+V68+AA68+AF68+AK68+AP68+AU68+AZ68))-(IF(AND('Your debts'!$F$7&lt;&gt;"",'Your debts'!$F$6&lt;&gt;"",'Your debts'!$F$7&lt;'Your debts'!$F$6),M68,0)+IF(AND('Your debts'!$F$8&lt;&gt;"",'Your debts'!$F$6&lt;&gt;"",'Your debts'!$F$8&lt;'Your debts'!$F$6),R68,0)+IF(AND('Your debts'!$F$9&lt;&gt;"",'Your debts'!$F$6&lt;&gt;"",'Your debts'!$F$9&lt;'Your debts'!$F$6),W68,0)+IF(AND('Your debts'!$F$10&lt;&gt;"",'Your debts'!$F$6&lt;&gt;"",'Your debts'!$F$10&lt;'Your debts'!$F$6),AB68,0)+IF(AND('Your debts'!$F$11&lt;&gt;"",'Your debts'!$F$6&lt;&gt;"",'Your debts'!$F$11&lt;'Your debts'!$F$6),AG68,0)+IF(AND('Your debts'!$F$12&lt;&gt;"",'Your debts'!$F$6&lt;&gt;"",'Your debts'!$F$12&lt;'Your debts'!$F$6),AL68,0)+IF(AND('Your debts'!$F$13&lt;&gt;"",'Your debts'!$F$6&lt;&gt;"",'Your debts'!$F$13&lt;'Your debts'!$F$6),AQ68,0)+IF(AND('Your debts'!$F$14&lt;&gt;"",'Your debts'!$F$6&lt;&gt;"",'Your debts'!$F$14&lt;'Your debts'!$F$6),AV68,0)+IF(AND('Your debts'!$F$15&lt;&gt;"",'Your debts'!$F$6&lt;&gt;"",'Your debts'!$F$15&lt;'Your debts'!$F$6),BA68,0)))))</f>
        <v/>
      </c>
      <c r="J68" s="33">
        <f>H68-I68</f>
        <v/>
      </c>
      <c r="K68" s="33">
        <f>IF(O67&lt;=0,0,ROUND(O67*(1+'Your debts'!$D$7/1200),2))</f>
        <v/>
      </c>
      <c r="L68" s="33">
        <f>IF(K68&lt;=0,0,MIN('Your debts'!$E$7,K68))</f>
        <v/>
      </c>
      <c r="M68" s="33">
        <f>K68-L68</f>
        <v/>
      </c>
      <c r="N68" s="33">
        <f>IF('Your debts'!$F$7="",0,MIN(M68,MAX(0,MAX(0,'Your debts'!$C$19-(G68+L68+Q68+V68+AA68+AF68+AK68+AP68+AU68+AZ68))-(IF(AND('Your debts'!$F$6&lt;&gt;"",'Your debts'!$F$7&lt;&gt;"",'Your debts'!$F$6&lt;'Your debts'!$F$7),H68,0)+IF(AND('Your debts'!$F$8&lt;&gt;"",'Your debts'!$F$7&lt;&gt;"",'Your debts'!$F$8&lt;'Your debts'!$F$7),R68,0)+IF(AND('Your debts'!$F$9&lt;&gt;"",'Your debts'!$F$7&lt;&gt;"",'Your debts'!$F$9&lt;'Your debts'!$F$7),W68,0)+IF(AND('Your debts'!$F$10&lt;&gt;"",'Your debts'!$F$7&lt;&gt;"",'Your debts'!$F$10&lt;'Your debts'!$F$7),AB68,0)+IF(AND('Your debts'!$F$11&lt;&gt;"",'Your debts'!$F$7&lt;&gt;"",'Your debts'!$F$11&lt;'Your debts'!$F$7),AG68,0)+IF(AND('Your debts'!$F$12&lt;&gt;"",'Your debts'!$F$7&lt;&gt;"",'Your debts'!$F$12&lt;'Your debts'!$F$7),AL68,0)+IF(AND('Your debts'!$F$13&lt;&gt;"",'Your debts'!$F$7&lt;&gt;"",'Your debts'!$F$13&lt;'Your debts'!$F$7),AQ68,0)+IF(AND('Your debts'!$F$14&lt;&gt;"",'Your debts'!$F$7&lt;&gt;"",'Your debts'!$F$14&lt;'Your debts'!$F$7),AV68,0)+IF(AND('Your debts'!$F$15&lt;&gt;"",'Your debts'!$F$7&lt;&gt;"",'Your debts'!$F$15&lt;'Your debts'!$F$7),BA68,0)))))</f>
        <v/>
      </c>
      <c r="O68" s="33">
        <f>M68-N68</f>
        <v/>
      </c>
      <c r="P68" s="33">
        <f>IF(T67&lt;=0,0,ROUND(T67*(1+'Your debts'!$D$8/1200),2))</f>
        <v/>
      </c>
      <c r="Q68" s="33">
        <f>IF(P68&lt;=0,0,MIN('Your debts'!$E$8,P68))</f>
        <v/>
      </c>
      <c r="R68" s="33">
        <f>P68-Q68</f>
        <v/>
      </c>
      <c r="S68" s="33">
        <f>IF('Your debts'!$F$8="",0,MIN(R68,MAX(0,MAX(0,'Your debts'!$C$19-(G68+L68+Q68+V68+AA68+AF68+AK68+AP68+AU68+AZ68))-(IF(AND('Your debts'!$F$6&lt;&gt;"",'Your debts'!$F$8&lt;&gt;"",'Your debts'!$F$6&lt;'Your debts'!$F$8),H68,0)+IF(AND('Your debts'!$F$7&lt;&gt;"",'Your debts'!$F$8&lt;&gt;"",'Your debts'!$F$7&lt;'Your debts'!$F$8),M68,0)+IF(AND('Your debts'!$F$9&lt;&gt;"",'Your debts'!$F$8&lt;&gt;"",'Your debts'!$F$9&lt;'Your debts'!$F$8),W68,0)+IF(AND('Your debts'!$F$10&lt;&gt;"",'Your debts'!$F$8&lt;&gt;"",'Your debts'!$F$10&lt;'Your debts'!$F$8),AB68,0)+IF(AND('Your debts'!$F$11&lt;&gt;"",'Your debts'!$F$8&lt;&gt;"",'Your debts'!$F$11&lt;'Your debts'!$F$8),AG68,0)+IF(AND('Your debts'!$F$12&lt;&gt;"",'Your debts'!$F$8&lt;&gt;"",'Your debts'!$F$12&lt;'Your debts'!$F$8),AL68,0)+IF(AND('Your debts'!$F$13&lt;&gt;"",'Your debts'!$F$8&lt;&gt;"",'Your debts'!$F$13&lt;'Your debts'!$F$8),AQ68,0)+IF(AND('Your debts'!$F$14&lt;&gt;"",'Your debts'!$F$8&lt;&gt;"",'Your debts'!$F$14&lt;'Your debts'!$F$8),AV68,0)+IF(AND('Your debts'!$F$15&lt;&gt;"",'Your debts'!$F$8&lt;&gt;"",'Your debts'!$F$15&lt;'Your debts'!$F$8),BA68,0)))))</f>
        <v/>
      </c>
      <c r="T68" s="33">
        <f>R68-S68</f>
        <v/>
      </c>
      <c r="U68" s="33">
        <f>IF(Y67&lt;=0,0,ROUND(Y67*(1+'Your debts'!$D$9/1200),2))</f>
        <v/>
      </c>
      <c r="V68" s="33">
        <f>IF(U68&lt;=0,0,MIN('Your debts'!$E$9,U68))</f>
        <v/>
      </c>
      <c r="W68" s="33">
        <f>U68-V68</f>
        <v/>
      </c>
      <c r="X68" s="33">
        <f>IF('Your debts'!$F$9="",0,MIN(W68,MAX(0,MAX(0,'Your debts'!$C$19-(G68+L68+Q68+V68+AA68+AF68+AK68+AP68+AU68+AZ68))-(IF(AND('Your debts'!$F$6&lt;&gt;"",'Your debts'!$F$9&lt;&gt;"",'Your debts'!$F$6&lt;'Your debts'!$F$9),H68,0)+IF(AND('Your debts'!$F$7&lt;&gt;"",'Your debts'!$F$9&lt;&gt;"",'Your debts'!$F$7&lt;'Your debts'!$F$9),M68,0)+IF(AND('Your debts'!$F$8&lt;&gt;"",'Your debts'!$F$9&lt;&gt;"",'Your debts'!$F$8&lt;'Your debts'!$F$9),R68,0)+IF(AND('Your debts'!$F$10&lt;&gt;"",'Your debts'!$F$9&lt;&gt;"",'Your debts'!$F$10&lt;'Your debts'!$F$9),AB68,0)+IF(AND('Your debts'!$F$11&lt;&gt;"",'Your debts'!$F$9&lt;&gt;"",'Your debts'!$F$11&lt;'Your debts'!$F$9),AG68,0)+IF(AND('Your debts'!$F$12&lt;&gt;"",'Your debts'!$F$9&lt;&gt;"",'Your debts'!$F$12&lt;'Your debts'!$F$9),AL68,0)+IF(AND('Your debts'!$F$13&lt;&gt;"",'Your debts'!$F$9&lt;&gt;"",'Your debts'!$F$13&lt;'Your debts'!$F$9),AQ68,0)+IF(AND('Your debts'!$F$14&lt;&gt;"",'Your debts'!$F$9&lt;&gt;"",'Your debts'!$F$14&lt;'Your debts'!$F$9),AV68,0)+IF(AND('Your debts'!$F$15&lt;&gt;"",'Your debts'!$F$9&lt;&gt;"",'Your debts'!$F$15&lt;'Your debts'!$F$9),BA68,0)))))</f>
        <v/>
      </c>
      <c r="Y68" s="33">
        <f>W68-X68</f>
        <v/>
      </c>
      <c r="Z68" s="33">
        <f>IF(AD67&lt;=0,0,ROUND(AD67*(1+'Your debts'!$D$10/1200),2))</f>
        <v/>
      </c>
      <c r="AA68" s="33">
        <f>IF(Z68&lt;=0,0,MIN('Your debts'!$E$10,Z68))</f>
        <v/>
      </c>
      <c r="AB68" s="33">
        <f>Z68-AA68</f>
        <v/>
      </c>
      <c r="AC68" s="33">
        <f>IF('Your debts'!$F$10="",0,MIN(AB68,MAX(0,MAX(0,'Your debts'!$C$19-(G68+L68+Q68+V68+AA68+AF68+AK68+AP68+AU68+AZ68))-(IF(AND('Your debts'!$F$6&lt;&gt;"",'Your debts'!$F$10&lt;&gt;"",'Your debts'!$F$6&lt;'Your debts'!$F$10),H68,0)+IF(AND('Your debts'!$F$7&lt;&gt;"",'Your debts'!$F$10&lt;&gt;"",'Your debts'!$F$7&lt;'Your debts'!$F$10),M68,0)+IF(AND('Your debts'!$F$8&lt;&gt;"",'Your debts'!$F$10&lt;&gt;"",'Your debts'!$F$8&lt;'Your debts'!$F$10),R68,0)+IF(AND('Your debts'!$F$9&lt;&gt;"",'Your debts'!$F$10&lt;&gt;"",'Your debts'!$F$9&lt;'Your debts'!$F$10),W68,0)+IF(AND('Your debts'!$F$11&lt;&gt;"",'Your debts'!$F$10&lt;&gt;"",'Your debts'!$F$11&lt;'Your debts'!$F$10),AG68,0)+IF(AND('Your debts'!$F$12&lt;&gt;"",'Your debts'!$F$10&lt;&gt;"",'Your debts'!$F$12&lt;'Your debts'!$F$10),AL68,0)+IF(AND('Your debts'!$F$13&lt;&gt;"",'Your debts'!$F$10&lt;&gt;"",'Your debts'!$F$13&lt;'Your debts'!$F$10),AQ68,0)+IF(AND('Your debts'!$F$14&lt;&gt;"",'Your debts'!$F$10&lt;&gt;"",'Your debts'!$F$14&lt;'Your debts'!$F$10),AV68,0)+IF(AND('Your debts'!$F$15&lt;&gt;"",'Your debts'!$F$10&lt;&gt;"",'Your debts'!$F$15&lt;'Your debts'!$F$10),BA68,0)))))</f>
        <v/>
      </c>
      <c r="AD68" s="33">
        <f>AB68-AC68</f>
        <v/>
      </c>
      <c r="AE68" s="33">
        <f>IF(AI67&lt;=0,0,ROUND(AI67*(1+'Your debts'!$D$11/1200),2))</f>
        <v/>
      </c>
      <c r="AF68" s="33">
        <f>IF(AE68&lt;=0,0,MIN('Your debts'!$E$11,AE68))</f>
        <v/>
      </c>
      <c r="AG68" s="33">
        <f>AE68-AF68</f>
        <v/>
      </c>
      <c r="AH68" s="33">
        <f>IF('Your debts'!$F$11="",0,MIN(AG68,MAX(0,MAX(0,'Your debts'!$C$19-(G68+L68+Q68+V68+AA68+AF68+AK68+AP68+AU68+AZ68))-(IF(AND('Your debts'!$F$6&lt;&gt;"",'Your debts'!$F$11&lt;&gt;"",'Your debts'!$F$6&lt;'Your debts'!$F$11),H68,0)+IF(AND('Your debts'!$F$7&lt;&gt;"",'Your debts'!$F$11&lt;&gt;"",'Your debts'!$F$7&lt;'Your debts'!$F$11),M68,0)+IF(AND('Your debts'!$F$8&lt;&gt;"",'Your debts'!$F$11&lt;&gt;"",'Your debts'!$F$8&lt;'Your debts'!$F$11),R68,0)+IF(AND('Your debts'!$F$9&lt;&gt;"",'Your debts'!$F$11&lt;&gt;"",'Your debts'!$F$9&lt;'Your debts'!$F$11),W68,0)+IF(AND('Your debts'!$F$10&lt;&gt;"",'Your debts'!$F$11&lt;&gt;"",'Your debts'!$F$10&lt;'Your debts'!$F$11),AB68,0)+IF(AND('Your debts'!$F$12&lt;&gt;"",'Your debts'!$F$11&lt;&gt;"",'Your debts'!$F$12&lt;'Your debts'!$F$11),AL68,0)+IF(AND('Your debts'!$F$13&lt;&gt;"",'Your debts'!$F$11&lt;&gt;"",'Your debts'!$F$13&lt;'Your debts'!$F$11),AQ68,0)+IF(AND('Your debts'!$F$14&lt;&gt;"",'Your debts'!$F$11&lt;&gt;"",'Your debts'!$F$14&lt;'Your debts'!$F$11),AV68,0)+IF(AND('Your debts'!$F$15&lt;&gt;"",'Your debts'!$F$11&lt;&gt;"",'Your debts'!$F$15&lt;'Your debts'!$F$11),BA68,0)))))</f>
        <v/>
      </c>
      <c r="AI68" s="33">
        <f>AG68-AH68</f>
        <v/>
      </c>
      <c r="AJ68" s="33">
        <f>IF(AN67&lt;=0,0,ROUND(AN67*(1+'Your debts'!$D$12/1200),2))</f>
        <v/>
      </c>
      <c r="AK68" s="33">
        <f>IF(AJ68&lt;=0,0,MIN('Your debts'!$E$12,AJ68))</f>
        <v/>
      </c>
      <c r="AL68" s="33">
        <f>AJ68-AK68</f>
        <v/>
      </c>
      <c r="AM68" s="33">
        <f>IF('Your debts'!$F$12="",0,MIN(AL68,MAX(0,MAX(0,'Your debts'!$C$19-(G68+L68+Q68+V68+AA68+AF68+AK68+AP68+AU68+AZ68))-(IF(AND('Your debts'!$F$6&lt;&gt;"",'Your debts'!$F$12&lt;&gt;"",'Your debts'!$F$6&lt;'Your debts'!$F$12),H68,0)+IF(AND('Your debts'!$F$7&lt;&gt;"",'Your debts'!$F$12&lt;&gt;"",'Your debts'!$F$7&lt;'Your debts'!$F$12),M68,0)+IF(AND('Your debts'!$F$8&lt;&gt;"",'Your debts'!$F$12&lt;&gt;"",'Your debts'!$F$8&lt;'Your debts'!$F$12),R68,0)+IF(AND('Your debts'!$F$9&lt;&gt;"",'Your debts'!$F$12&lt;&gt;"",'Your debts'!$F$9&lt;'Your debts'!$F$12),W68,0)+IF(AND('Your debts'!$F$10&lt;&gt;"",'Your debts'!$F$12&lt;&gt;"",'Your debts'!$F$10&lt;'Your debts'!$F$12),AB68,0)+IF(AND('Your debts'!$F$11&lt;&gt;"",'Your debts'!$F$12&lt;&gt;"",'Your debts'!$F$11&lt;'Your debts'!$F$12),AG68,0)+IF(AND('Your debts'!$F$13&lt;&gt;"",'Your debts'!$F$12&lt;&gt;"",'Your debts'!$F$13&lt;'Your debts'!$F$12),AQ68,0)+IF(AND('Your debts'!$F$14&lt;&gt;"",'Your debts'!$F$12&lt;&gt;"",'Your debts'!$F$14&lt;'Your debts'!$F$12),AV68,0)+IF(AND('Your debts'!$F$15&lt;&gt;"",'Your debts'!$F$12&lt;&gt;"",'Your debts'!$F$15&lt;'Your debts'!$F$12),BA68,0)))))</f>
        <v/>
      </c>
      <c r="AN68" s="33">
        <f>AL68-AM68</f>
        <v/>
      </c>
      <c r="AO68" s="33">
        <f>IF(AS67&lt;=0,0,ROUND(AS67*(1+'Your debts'!$D$13/1200),2))</f>
        <v/>
      </c>
      <c r="AP68" s="33">
        <f>IF(AO68&lt;=0,0,MIN('Your debts'!$E$13,AO68))</f>
        <v/>
      </c>
      <c r="AQ68" s="33">
        <f>AO68-AP68</f>
        <v/>
      </c>
      <c r="AR68" s="33">
        <f>IF('Your debts'!$F$13="",0,MIN(AQ68,MAX(0,MAX(0,'Your debts'!$C$19-(G68+L68+Q68+V68+AA68+AF68+AK68+AP68+AU68+AZ68))-(IF(AND('Your debts'!$F$6&lt;&gt;"",'Your debts'!$F$13&lt;&gt;"",'Your debts'!$F$6&lt;'Your debts'!$F$13),H68,0)+IF(AND('Your debts'!$F$7&lt;&gt;"",'Your debts'!$F$13&lt;&gt;"",'Your debts'!$F$7&lt;'Your debts'!$F$13),M68,0)+IF(AND('Your debts'!$F$8&lt;&gt;"",'Your debts'!$F$13&lt;&gt;"",'Your debts'!$F$8&lt;'Your debts'!$F$13),R68,0)+IF(AND('Your debts'!$F$9&lt;&gt;"",'Your debts'!$F$13&lt;&gt;"",'Your debts'!$F$9&lt;'Your debts'!$F$13),W68,0)+IF(AND('Your debts'!$F$10&lt;&gt;"",'Your debts'!$F$13&lt;&gt;"",'Your debts'!$F$10&lt;'Your debts'!$F$13),AB68,0)+IF(AND('Your debts'!$F$11&lt;&gt;"",'Your debts'!$F$13&lt;&gt;"",'Your debts'!$F$11&lt;'Your debts'!$F$13),AG68,0)+IF(AND('Your debts'!$F$12&lt;&gt;"",'Your debts'!$F$13&lt;&gt;"",'Your debts'!$F$12&lt;'Your debts'!$F$13),AL68,0)+IF(AND('Your debts'!$F$14&lt;&gt;"",'Your debts'!$F$13&lt;&gt;"",'Your debts'!$F$14&lt;'Your debts'!$F$13),AV68,0)+IF(AND('Your debts'!$F$15&lt;&gt;"",'Your debts'!$F$13&lt;&gt;"",'Your debts'!$F$15&lt;'Your debts'!$F$13),BA68,0)))))</f>
        <v/>
      </c>
      <c r="AS68" s="33">
        <f>AQ68-AR68</f>
        <v/>
      </c>
      <c r="AT68" s="33">
        <f>IF(AX67&lt;=0,0,ROUND(AX67*(1+'Your debts'!$D$14/1200),2))</f>
        <v/>
      </c>
      <c r="AU68" s="33">
        <f>IF(AT68&lt;=0,0,MIN('Your debts'!$E$14,AT68))</f>
        <v/>
      </c>
      <c r="AV68" s="33">
        <f>AT68-AU68</f>
        <v/>
      </c>
      <c r="AW68" s="33">
        <f>IF('Your debts'!$F$14="",0,MIN(AV68,MAX(0,MAX(0,'Your debts'!$C$19-(G68+L68+Q68+V68+AA68+AF68+AK68+AP68+AU68+AZ68))-(IF(AND('Your debts'!$F$6&lt;&gt;"",'Your debts'!$F$14&lt;&gt;"",'Your debts'!$F$6&lt;'Your debts'!$F$14),H68,0)+IF(AND('Your debts'!$F$7&lt;&gt;"",'Your debts'!$F$14&lt;&gt;"",'Your debts'!$F$7&lt;'Your debts'!$F$14),M68,0)+IF(AND('Your debts'!$F$8&lt;&gt;"",'Your debts'!$F$14&lt;&gt;"",'Your debts'!$F$8&lt;'Your debts'!$F$14),R68,0)+IF(AND('Your debts'!$F$9&lt;&gt;"",'Your debts'!$F$14&lt;&gt;"",'Your debts'!$F$9&lt;'Your debts'!$F$14),W68,0)+IF(AND('Your debts'!$F$10&lt;&gt;"",'Your debts'!$F$14&lt;&gt;"",'Your debts'!$F$10&lt;'Your debts'!$F$14),AB68,0)+IF(AND('Your debts'!$F$11&lt;&gt;"",'Your debts'!$F$14&lt;&gt;"",'Your debts'!$F$11&lt;'Your debts'!$F$14),AG68,0)+IF(AND('Your debts'!$F$12&lt;&gt;"",'Your debts'!$F$14&lt;&gt;"",'Your debts'!$F$12&lt;'Your debts'!$F$14),AL68,0)+IF(AND('Your debts'!$F$13&lt;&gt;"",'Your debts'!$F$14&lt;&gt;"",'Your debts'!$F$13&lt;'Your debts'!$F$14),AQ68,0)+IF(AND('Your debts'!$F$15&lt;&gt;"",'Your debts'!$F$14&lt;&gt;"",'Your debts'!$F$15&lt;'Your debts'!$F$14),BA68,0)))))</f>
        <v/>
      </c>
      <c r="AX68" s="33">
        <f>AV68-AW68</f>
        <v/>
      </c>
      <c r="AY68" s="33">
        <f>IF(BC67&lt;=0,0,ROUND(BC67*(1+'Your debts'!$D$15/1200),2))</f>
        <v/>
      </c>
      <c r="AZ68" s="33">
        <f>IF(AY68&lt;=0,0,MIN('Your debts'!$E$15,AY68))</f>
        <v/>
      </c>
      <c r="BA68" s="33">
        <f>AY68-AZ68</f>
        <v/>
      </c>
      <c r="BB68" s="33">
        <f>IF('Your debts'!$F$15="",0,MIN(BA68,MAX(0,MAX(0,'Your debts'!$C$19-(G68+L68+Q68+V68+AA68+AF68+AK68+AP68+AU68+AZ68))-(IF(AND('Your debts'!$F$6&lt;&gt;"",'Your debts'!$F$15&lt;&gt;"",'Your debts'!$F$6&lt;'Your debts'!$F$15),H68,0)+IF(AND('Your debts'!$F$7&lt;&gt;"",'Your debts'!$F$15&lt;&gt;"",'Your debts'!$F$7&lt;'Your debts'!$F$15),M68,0)+IF(AND('Your debts'!$F$8&lt;&gt;"",'Your debts'!$F$15&lt;&gt;"",'Your debts'!$F$8&lt;'Your debts'!$F$15),R68,0)+IF(AND('Your debts'!$F$9&lt;&gt;"",'Your debts'!$F$15&lt;&gt;"",'Your debts'!$F$9&lt;'Your debts'!$F$15),W68,0)+IF(AND('Your debts'!$F$10&lt;&gt;"",'Your debts'!$F$15&lt;&gt;"",'Your debts'!$F$10&lt;'Your debts'!$F$15),AB68,0)+IF(AND('Your debts'!$F$11&lt;&gt;"",'Your debts'!$F$15&lt;&gt;"",'Your debts'!$F$11&lt;'Your debts'!$F$15),AG68,0)+IF(AND('Your debts'!$F$12&lt;&gt;"",'Your debts'!$F$15&lt;&gt;"",'Your debts'!$F$12&lt;'Your debts'!$F$15),AL68,0)+IF(AND('Your debts'!$F$13&lt;&gt;"",'Your debts'!$F$15&lt;&gt;"",'Your debts'!$F$13&lt;'Your debts'!$F$15),AQ68,0)+IF(AND('Your debts'!$F$14&lt;&gt;"",'Your debts'!$F$15&lt;&gt;"",'Your debts'!$F$14&lt;'Your debts'!$F$15),AV68,0)))))</f>
        <v/>
      </c>
      <c r="BC68" s="33">
        <f>BA68-BB68</f>
        <v/>
      </c>
    </row>
    <row r="69">
      <c r="A69" s="30" t="n">
        <v>54</v>
      </c>
      <c r="B69" s="31">
        <f>EDATE($B$15,54)</f>
        <v/>
      </c>
      <c r="C69" s="32">
        <f>IF(J68&lt;=0,0,F69-J68)+IF(O68&lt;=0,0,K69-O68)+IF(T68&lt;=0,0,P69-T68)+IF(Y68&lt;=0,0,U69-Y68)+IF(AD68&lt;=0,0,Z69-AD68)+IF(AI68&lt;=0,0,AE69-AI68)+IF(AN68&lt;=0,0,AJ69-AN68)+IF(AS68&lt;=0,0,AO69-AS68)+IF(AX68&lt;=0,0,AT69-AX68)+IF(BC68&lt;=0,0,AY69-BC68)</f>
        <v/>
      </c>
      <c r="D69" s="32">
        <f>G69+I69+L69+N69+Q69+S69+V69+X69+AA69+AC69+AF69+AH69+AK69+AM69+AP69+AR69+AU69+AW69+AZ69+BB69</f>
        <v/>
      </c>
      <c r="E69" s="32">
        <f>J69+O69+T69+Y69+AD69+AI69+AN69+AS69+AX69+BC69</f>
        <v/>
      </c>
      <c r="F69" s="33">
        <f>IF(J68&lt;=0,0,ROUND(J68*(1+'Your debts'!$D$6/1200),2))</f>
        <v/>
      </c>
      <c r="G69" s="33">
        <f>IF(F69&lt;=0,0,MIN('Your debts'!$E$6,F69))</f>
        <v/>
      </c>
      <c r="H69" s="33">
        <f>F69-G69</f>
        <v/>
      </c>
      <c r="I69" s="33">
        <f>IF('Your debts'!$F$6="",0,MIN(H69,MAX(0,MAX(0,'Your debts'!$C$19-(G69+L69+Q69+V69+AA69+AF69+AK69+AP69+AU69+AZ69))-(IF(AND('Your debts'!$F$7&lt;&gt;"",'Your debts'!$F$6&lt;&gt;"",'Your debts'!$F$7&lt;'Your debts'!$F$6),M69,0)+IF(AND('Your debts'!$F$8&lt;&gt;"",'Your debts'!$F$6&lt;&gt;"",'Your debts'!$F$8&lt;'Your debts'!$F$6),R69,0)+IF(AND('Your debts'!$F$9&lt;&gt;"",'Your debts'!$F$6&lt;&gt;"",'Your debts'!$F$9&lt;'Your debts'!$F$6),W69,0)+IF(AND('Your debts'!$F$10&lt;&gt;"",'Your debts'!$F$6&lt;&gt;"",'Your debts'!$F$10&lt;'Your debts'!$F$6),AB69,0)+IF(AND('Your debts'!$F$11&lt;&gt;"",'Your debts'!$F$6&lt;&gt;"",'Your debts'!$F$11&lt;'Your debts'!$F$6),AG69,0)+IF(AND('Your debts'!$F$12&lt;&gt;"",'Your debts'!$F$6&lt;&gt;"",'Your debts'!$F$12&lt;'Your debts'!$F$6),AL69,0)+IF(AND('Your debts'!$F$13&lt;&gt;"",'Your debts'!$F$6&lt;&gt;"",'Your debts'!$F$13&lt;'Your debts'!$F$6),AQ69,0)+IF(AND('Your debts'!$F$14&lt;&gt;"",'Your debts'!$F$6&lt;&gt;"",'Your debts'!$F$14&lt;'Your debts'!$F$6),AV69,0)+IF(AND('Your debts'!$F$15&lt;&gt;"",'Your debts'!$F$6&lt;&gt;"",'Your debts'!$F$15&lt;'Your debts'!$F$6),BA69,0)))))</f>
        <v/>
      </c>
      <c r="J69" s="33">
        <f>H69-I69</f>
        <v/>
      </c>
      <c r="K69" s="33">
        <f>IF(O68&lt;=0,0,ROUND(O68*(1+'Your debts'!$D$7/1200),2))</f>
        <v/>
      </c>
      <c r="L69" s="33">
        <f>IF(K69&lt;=0,0,MIN('Your debts'!$E$7,K69))</f>
        <v/>
      </c>
      <c r="M69" s="33">
        <f>K69-L69</f>
        <v/>
      </c>
      <c r="N69" s="33">
        <f>IF('Your debts'!$F$7="",0,MIN(M69,MAX(0,MAX(0,'Your debts'!$C$19-(G69+L69+Q69+V69+AA69+AF69+AK69+AP69+AU69+AZ69))-(IF(AND('Your debts'!$F$6&lt;&gt;"",'Your debts'!$F$7&lt;&gt;"",'Your debts'!$F$6&lt;'Your debts'!$F$7),H69,0)+IF(AND('Your debts'!$F$8&lt;&gt;"",'Your debts'!$F$7&lt;&gt;"",'Your debts'!$F$8&lt;'Your debts'!$F$7),R69,0)+IF(AND('Your debts'!$F$9&lt;&gt;"",'Your debts'!$F$7&lt;&gt;"",'Your debts'!$F$9&lt;'Your debts'!$F$7),W69,0)+IF(AND('Your debts'!$F$10&lt;&gt;"",'Your debts'!$F$7&lt;&gt;"",'Your debts'!$F$10&lt;'Your debts'!$F$7),AB69,0)+IF(AND('Your debts'!$F$11&lt;&gt;"",'Your debts'!$F$7&lt;&gt;"",'Your debts'!$F$11&lt;'Your debts'!$F$7),AG69,0)+IF(AND('Your debts'!$F$12&lt;&gt;"",'Your debts'!$F$7&lt;&gt;"",'Your debts'!$F$12&lt;'Your debts'!$F$7),AL69,0)+IF(AND('Your debts'!$F$13&lt;&gt;"",'Your debts'!$F$7&lt;&gt;"",'Your debts'!$F$13&lt;'Your debts'!$F$7),AQ69,0)+IF(AND('Your debts'!$F$14&lt;&gt;"",'Your debts'!$F$7&lt;&gt;"",'Your debts'!$F$14&lt;'Your debts'!$F$7),AV69,0)+IF(AND('Your debts'!$F$15&lt;&gt;"",'Your debts'!$F$7&lt;&gt;"",'Your debts'!$F$15&lt;'Your debts'!$F$7),BA69,0)))))</f>
        <v/>
      </c>
      <c r="O69" s="33">
        <f>M69-N69</f>
        <v/>
      </c>
      <c r="P69" s="33">
        <f>IF(T68&lt;=0,0,ROUND(T68*(1+'Your debts'!$D$8/1200),2))</f>
        <v/>
      </c>
      <c r="Q69" s="33">
        <f>IF(P69&lt;=0,0,MIN('Your debts'!$E$8,P69))</f>
        <v/>
      </c>
      <c r="R69" s="33">
        <f>P69-Q69</f>
        <v/>
      </c>
      <c r="S69" s="33">
        <f>IF('Your debts'!$F$8="",0,MIN(R69,MAX(0,MAX(0,'Your debts'!$C$19-(G69+L69+Q69+V69+AA69+AF69+AK69+AP69+AU69+AZ69))-(IF(AND('Your debts'!$F$6&lt;&gt;"",'Your debts'!$F$8&lt;&gt;"",'Your debts'!$F$6&lt;'Your debts'!$F$8),H69,0)+IF(AND('Your debts'!$F$7&lt;&gt;"",'Your debts'!$F$8&lt;&gt;"",'Your debts'!$F$7&lt;'Your debts'!$F$8),M69,0)+IF(AND('Your debts'!$F$9&lt;&gt;"",'Your debts'!$F$8&lt;&gt;"",'Your debts'!$F$9&lt;'Your debts'!$F$8),W69,0)+IF(AND('Your debts'!$F$10&lt;&gt;"",'Your debts'!$F$8&lt;&gt;"",'Your debts'!$F$10&lt;'Your debts'!$F$8),AB69,0)+IF(AND('Your debts'!$F$11&lt;&gt;"",'Your debts'!$F$8&lt;&gt;"",'Your debts'!$F$11&lt;'Your debts'!$F$8),AG69,0)+IF(AND('Your debts'!$F$12&lt;&gt;"",'Your debts'!$F$8&lt;&gt;"",'Your debts'!$F$12&lt;'Your debts'!$F$8),AL69,0)+IF(AND('Your debts'!$F$13&lt;&gt;"",'Your debts'!$F$8&lt;&gt;"",'Your debts'!$F$13&lt;'Your debts'!$F$8),AQ69,0)+IF(AND('Your debts'!$F$14&lt;&gt;"",'Your debts'!$F$8&lt;&gt;"",'Your debts'!$F$14&lt;'Your debts'!$F$8),AV69,0)+IF(AND('Your debts'!$F$15&lt;&gt;"",'Your debts'!$F$8&lt;&gt;"",'Your debts'!$F$15&lt;'Your debts'!$F$8),BA69,0)))))</f>
        <v/>
      </c>
      <c r="T69" s="33">
        <f>R69-S69</f>
        <v/>
      </c>
      <c r="U69" s="33">
        <f>IF(Y68&lt;=0,0,ROUND(Y68*(1+'Your debts'!$D$9/1200),2))</f>
        <v/>
      </c>
      <c r="V69" s="33">
        <f>IF(U69&lt;=0,0,MIN('Your debts'!$E$9,U69))</f>
        <v/>
      </c>
      <c r="W69" s="33">
        <f>U69-V69</f>
        <v/>
      </c>
      <c r="X69" s="33">
        <f>IF('Your debts'!$F$9="",0,MIN(W69,MAX(0,MAX(0,'Your debts'!$C$19-(G69+L69+Q69+V69+AA69+AF69+AK69+AP69+AU69+AZ69))-(IF(AND('Your debts'!$F$6&lt;&gt;"",'Your debts'!$F$9&lt;&gt;"",'Your debts'!$F$6&lt;'Your debts'!$F$9),H69,0)+IF(AND('Your debts'!$F$7&lt;&gt;"",'Your debts'!$F$9&lt;&gt;"",'Your debts'!$F$7&lt;'Your debts'!$F$9),M69,0)+IF(AND('Your debts'!$F$8&lt;&gt;"",'Your debts'!$F$9&lt;&gt;"",'Your debts'!$F$8&lt;'Your debts'!$F$9),R69,0)+IF(AND('Your debts'!$F$10&lt;&gt;"",'Your debts'!$F$9&lt;&gt;"",'Your debts'!$F$10&lt;'Your debts'!$F$9),AB69,0)+IF(AND('Your debts'!$F$11&lt;&gt;"",'Your debts'!$F$9&lt;&gt;"",'Your debts'!$F$11&lt;'Your debts'!$F$9),AG69,0)+IF(AND('Your debts'!$F$12&lt;&gt;"",'Your debts'!$F$9&lt;&gt;"",'Your debts'!$F$12&lt;'Your debts'!$F$9),AL69,0)+IF(AND('Your debts'!$F$13&lt;&gt;"",'Your debts'!$F$9&lt;&gt;"",'Your debts'!$F$13&lt;'Your debts'!$F$9),AQ69,0)+IF(AND('Your debts'!$F$14&lt;&gt;"",'Your debts'!$F$9&lt;&gt;"",'Your debts'!$F$14&lt;'Your debts'!$F$9),AV69,0)+IF(AND('Your debts'!$F$15&lt;&gt;"",'Your debts'!$F$9&lt;&gt;"",'Your debts'!$F$15&lt;'Your debts'!$F$9),BA69,0)))))</f>
        <v/>
      </c>
      <c r="Y69" s="33">
        <f>W69-X69</f>
        <v/>
      </c>
      <c r="Z69" s="33">
        <f>IF(AD68&lt;=0,0,ROUND(AD68*(1+'Your debts'!$D$10/1200),2))</f>
        <v/>
      </c>
      <c r="AA69" s="33">
        <f>IF(Z69&lt;=0,0,MIN('Your debts'!$E$10,Z69))</f>
        <v/>
      </c>
      <c r="AB69" s="33">
        <f>Z69-AA69</f>
        <v/>
      </c>
      <c r="AC69" s="33">
        <f>IF('Your debts'!$F$10="",0,MIN(AB69,MAX(0,MAX(0,'Your debts'!$C$19-(G69+L69+Q69+V69+AA69+AF69+AK69+AP69+AU69+AZ69))-(IF(AND('Your debts'!$F$6&lt;&gt;"",'Your debts'!$F$10&lt;&gt;"",'Your debts'!$F$6&lt;'Your debts'!$F$10),H69,0)+IF(AND('Your debts'!$F$7&lt;&gt;"",'Your debts'!$F$10&lt;&gt;"",'Your debts'!$F$7&lt;'Your debts'!$F$10),M69,0)+IF(AND('Your debts'!$F$8&lt;&gt;"",'Your debts'!$F$10&lt;&gt;"",'Your debts'!$F$8&lt;'Your debts'!$F$10),R69,0)+IF(AND('Your debts'!$F$9&lt;&gt;"",'Your debts'!$F$10&lt;&gt;"",'Your debts'!$F$9&lt;'Your debts'!$F$10),W69,0)+IF(AND('Your debts'!$F$11&lt;&gt;"",'Your debts'!$F$10&lt;&gt;"",'Your debts'!$F$11&lt;'Your debts'!$F$10),AG69,0)+IF(AND('Your debts'!$F$12&lt;&gt;"",'Your debts'!$F$10&lt;&gt;"",'Your debts'!$F$12&lt;'Your debts'!$F$10),AL69,0)+IF(AND('Your debts'!$F$13&lt;&gt;"",'Your debts'!$F$10&lt;&gt;"",'Your debts'!$F$13&lt;'Your debts'!$F$10),AQ69,0)+IF(AND('Your debts'!$F$14&lt;&gt;"",'Your debts'!$F$10&lt;&gt;"",'Your debts'!$F$14&lt;'Your debts'!$F$10),AV69,0)+IF(AND('Your debts'!$F$15&lt;&gt;"",'Your debts'!$F$10&lt;&gt;"",'Your debts'!$F$15&lt;'Your debts'!$F$10),BA69,0)))))</f>
        <v/>
      </c>
      <c r="AD69" s="33">
        <f>AB69-AC69</f>
        <v/>
      </c>
      <c r="AE69" s="33">
        <f>IF(AI68&lt;=0,0,ROUND(AI68*(1+'Your debts'!$D$11/1200),2))</f>
        <v/>
      </c>
      <c r="AF69" s="33">
        <f>IF(AE69&lt;=0,0,MIN('Your debts'!$E$11,AE69))</f>
        <v/>
      </c>
      <c r="AG69" s="33">
        <f>AE69-AF69</f>
        <v/>
      </c>
      <c r="AH69" s="33">
        <f>IF('Your debts'!$F$11="",0,MIN(AG69,MAX(0,MAX(0,'Your debts'!$C$19-(G69+L69+Q69+V69+AA69+AF69+AK69+AP69+AU69+AZ69))-(IF(AND('Your debts'!$F$6&lt;&gt;"",'Your debts'!$F$11&lt;&gt;"",'Your debts'!$F$6&lt;'Your debts'!$F$11),H69,0)+IF(AND('Your debts'!$F$7&lt;&gt;"",'Your debts'!$F$11&lt;&gt;"",'Your debts'!$F$7&lt;'Your debts'!$F$11),M69,0)+IF(AND('Your debts'!$F$8&lt;&gt;"",'Your debts'!$F$11&lt;&gt;"",'Your debts'!$F$8&lt;'Your debts'!$F$11),R69,0)+IF(AND('Your debts'!$F$9&lt;&gt;"",'Your debts'!$F$11&lt;&gt;"",'Your debts'!$F$9&lt;'Your debts'!$F$11),W69,0)+IF(AND('Your debts'!$F$10&lt;&gt;"",'Your debts'!$F$11&lt;&gt;"",'Your debts'!$F$10&lt;'Your debts'!$F$11),AB69,0)+IF(AND('Your debts'!$F$12&lt;&gt;"",'Your debts'!$F$11&lt;&gt;"",'Your debts'!$F$12&lt;'Your debts'!$F$11),AL69,0)+IF(AND('Your debts'!$F$13&lt;&gt;"",'Your debts'!$F$11&lt;&gt;"",'Your debts'!$F$13&lt;'Your debts'!$F$11),AQ69,0)+IF(AND('Your debts'!$F$14&lt;&gt;"",'Your debts'!$F$11&lt;&gt;"",'Your debts'!$F$14&lt;'Your debts'!$F$11),AV69,0)+IF(AND('Your debts'!$F$15&lt;&gt;"",'Your debts'!$F$11&lt;&gt;"",'Your debts'!$F$15&lt;'Your debts'!$F$11),BA69,0)))))</f>
        <v/>
      </c>
      <c r="AI69" s="33">
        <f>AG69-AH69</f>
        <v/>
      </c>
      <c r="AJ69" s="33">
        <f>IF(AN68&lt;=0,0,ROUND(AN68*(1+'Your debts'!$D$12/1200),2))</f>
        <v/>
      </c>
      <c r="AK69" s="33">
        <f>IF(AJ69&lt;=0,0,MIN('Your debts'!$E$12,AJ69))</f>
        <v/>
      </c>
      <c r="AL69" s="33">
        <f>AJ69-AK69</f>
        <v/>
      </c>
      <c r="AM69" s="33">
        <f>IF('Your debts'!$F$12="",0,MIN(AL69,MAX(0,MAX(0,'Your debts'!$C$19-(G69+L69+Q69+V69+AA69+AF69+AK69+AP69+AU69+AZ69))-(IF(AND('Your debts'!$F$6&lt;&gt;"",'Your debts'!$F$12&lt;&gt;"",'Your debts'!$F$6&lt;'Your debts'!$F$12),H69,0)+IF(AND('Your debts'!$F$7&lt;&gt;"",'Your debts'!$F$12&lt;&gt;"",'Your debts'!$F$7&lt;'Your debts'!$F$12),M69,0)+IF(AND('Your debts'!$F$8&lt;&gt;"",'Your debts'!$F$12&lt;&gt;"",'Your debts'!$F$8&lt;'Your debts'!$F$12),R69,0)+IF(AND('Your debts'!$F$9&lt;&gt;"",'Your debts'!$F$12&lt;&gt;"",'Your debts'!$F$9&lt;'Your debts'!$F$12),W69,0)+IF(AND('Your debts'!$F$10&lt;&gt;"",'Your debts'!$F$12&lt;&gt;"",'Your debts'!$F$10&lt;'Your debts'!$F$12),AB69,0)+IF(AND('Your debts'!$F$11&lt;&gt;"",'Your debts'!$F$12&lt;&gt;"",'Your debts'!$F$11&lt;'Your debts'!$F$12),AG69,0)+IF(AND('Your debts'!$F$13&lt;&gt;"",'Your debts'!$F$12&lt;&gt;"",'Your debts'!$F$13&lt;'Your debts'!$F$12),AQ69,0)+IF(AND('Your debts'!$F$14&lt;&gt;"",'Your debts'!$F$12&lt;&gt;"",'Your debts'!$F$14&lt;'Your debts'!$F$12),AV69,0)+IF(AND('Your debts'!$F$15&lt;&gt;"",'Your debts'!$F$12&lt;&gt;"",'Your debts'!$F$15&lt;'Your debts'!$F$12),BA69,0)))))</f>
        <v/>
      </c>
      <c r="AN69" s="33">
        <f>AL69-AM69</f>
        <v/>
      </c>
      <c r="AO69" s="33">
        <f>IF(AS68&lt;=0,0,ROUND(AS68*(1+'Your debts'!$D$13/1200),2))</f>
        <v/>
      </c>
      <c r="AP69" s="33">
        <f>IF(AO69&lt;=0,0,MIN('Your debts'!$E$13,AO69))</f>
        <v/>
      </c>
      <c r="AQ69" s="33">
        <f>AO69-AP69</f>
        <v/>
      </c>
      <c r="AR69" s="33">
        <f>IF('Your debts'!$F$13="",0,MIN(AQ69,MAX(0,MAX(0,'Your debts'!$C$19-(G69+L69+Q69+V69+AA69+AF69+AK69+AP69+AU69+AZ69))-(IF(AND('Your debts'!$F$6&lt;&gt;"",'Your debts'!$F$13&lt;&gt;"",'Your debts'!$F$6&lt;'Your debts'!$F$13),H69,0)+IF(AND('Your debts'!$F$7&lt;&gt;"",'Your debts'!$F$13&lt;&gt;"",'Your debts'!$F$7&lt;'Your debts'!$F$13),M69,0)+IF(AND('Your debts'!$F$8&lt;&gt;"",'Your debts'!$F$13&lt;&gt;"",'Your debts'!$F$8&lt;'Your debts'!$F$13),R69,0)+IF(AND('Your debts'!$F$9&lt;&gt;"",'Your debts'!$F$13&lt;&gt;"",'Your debts'!$F$9&lt;'Your debts'!$F$13),W69,0)+IF(AND('Your debts'!$F$10&lt;&gt;"",'Your debts'!$F$13&lt;&gt;"",'Your debts'!$F$10&lt;'Your debts'!$F$13),AB69,0)+IF(AND('Your debts'!$F$11&lt;&gt;"",'Your debts'!$F$13&lt;&gt;"",'Your debts'!$F$11&lt;'Your debts'!$F$13),AG69,0)+IF(AND('Your debts'!$F$12&lt;&gt;"",'Your debts'!$F$13&lt;&gt;"",'Your debts'!$F$12&lt;'Your debts'!$F$13),AL69,0)+IF(AND('Your debts'!$F$14&lt;&gt;"",'Your debts'!$F$13&lt;&gt;"",'Your debts'!$F$14&lt;'Your debts'!$F$13),AV69,0)+IF(AND('Your debts'!$F$15&lt;&gt;"",'Your debts'!$F$13&lt;&gt;"",'Your debts'!$F$15&lt;'Your debts'!$F$13),BA69,0)))))</f>
        <v/>
      </c>
      <c r="AS69" s="33">
        <f>AQ69-AR69</f>
        <v/>
      </c>
      <c r="AT69" s="33">
        <f>IF(AX68&lt;=0,0,ROUND(AX68*(1+'Your debts'!$D$14/1200),2))</f>
        <v/>
      </c>
      <c r="AU69" s="33">
        <f>IF(AT69&lt;=0,0,MIN('Your debts'!$E$14,AT69))</f>
        <v/>
      </c>
      <c r="AV69" s="33">
        <f>AT69-AU69</f>
        <v/>
      </c>
      <c r="AW69" s="33">
        <f>IF('Your debts'!$F$14="",0,MIN(AV69,MAX(0,MAX(0,'Your debts'!$C$19-(G69+L69+Q69+V69+AA69+AF69+AK69+AP69+AU69+AZ69))-(IF(AND('Your debts'!$F$6&lt;&gt;"",'Your debts'!$F$14&lt;&gt;"",'Your debts'!$F$6&lt;'Your debts'!$F$14),H69,0)+IF(AND('Your debts'!$F$7&lt;&gt;"",'Your debts'!$F$14&lt;&gt;"",'Your debts'!$F$7&lt;'Your debts'!$F$14),M69,0)+IF(AND('Your debts'!$F$8&lt;&gt;"",'Your debts'!$F$14&lt;&gt;"",'Your debts'!$F$8&lt;'Your debts'!$F$14),R69,0)+IF(AND('Your debts'!$F$9&lt;&gt;"",'Your debts'!$F$14&lt;&gt;"",'Your debts'!$F$9&lt;'Your debts'!$F$14),W69,0)+IF(AND('Your debts'!$F$10&lt;&gt;"",'Your debts'!$F$14&lt;&gt;"",'Your debts'!$F$10&lt;'Your debts'!$F$14),AB69,0)+IF(AND('Your debts'!$F$11&lt;&gt;"",'Your debts'!$F$14&lt;&gt;"",'Your debts'!$F$11&lt;'Your debts'!$F$14),AG69,0)+IF(AND('Your debts'!$F$12&lt;&gt;"",'Your debts'!$F$14&lt;&gt;"",'Your debts'!$F$12&lt;'Your debts'!$F$14),AL69,0)+IF(AND('Your debts'!$F$13&lt;&gt;"",'Your debts'!$F$14&lt;&gt;"",'Your debts'!$F$13&lt;'Your debts'!$F$14),AQ69,0)+IF(AND('Your debts'!$F$15&lt;&gt;"",'Your debts'!$F$14&lt;&gt;"",'Your debts'!$F$15&lt;'Your debts'!$F$14),BA69,0)))))</f>
        <v/>
      </c>
      <c r="AX69" s="33">
        <f>AV69-AW69</f>
        <v/>
      </c>
      <c r="AY69" s="33">
        <f>IF(BC68&lt;=0,0,ROUND(BC68*(1+'Your debts'!$D$15/1200),2))</f>
        <v/>
      </c>
      <c r="AZ69" s="33">
        <f>IF(AY69&lt;=0,0,MIN('Your debts'!$E$15,AY69))</f>
        <v/>
      </c>
      <c r="BA69" s="33">
        <f>AY69-AZ69</f>
        <v/>
      </c>
      <c r="BB69" s="33">
        <f>IF('Your debts'!$F$15="",0,MIN(BA69,MAX(0,MAX(0,'Your debts'!$C$19-(G69+L69+Q69+V69+AA69+AF69+AK69+AP69+AU69+AZ69))-(IF(AND('Your debts'!$F$6&lt;&gt;"",'Your debts'!$F$15&lt;&gt;"",'Your debts'!$F$6&lt;'Your debts'!$F$15),H69,0)+IF(AND('Your debts'!$F$7&lt;&gt;"",'Your debts'!$F$15&lt;&gt;"",'Your debts'!$F$7&lt;'Your debts'!$F$15),M69,0)+IF(AND('Your debts'!$F$8&lt;&gt;"",'Your debts'!$F$15&lt;&gt;"",'Your debts'!$F$8&lt;'Your debts'!$F$15),R69,0)+IF(AND('Your debts'!$F$9&lt;&gt;"",'Your debts'!$F$15&lt;&gt;"",'Your debts'!$F$9&lt;'Your debts'!$F$15),W69,0)+IF(AND('Your debts'!$F$10&lt;&gt;"",'Your debts'!$F$15&lt;&gt;"",'Your debts'!$F$10&lt;'Your debts'!$F$15),AB69,0)+IF(AND('Your debts'!$F$11&lt;&gt;"",'Your debts'!$F$15&lt;&gt;"",'Your debts'!$F$11&lt;'Your debts'!$F$15),AG69,0)+IF(AND('Your debts'!$F$12&lt;&gt;"",'Your debts'!$F$15&lt;&gt;"",'Your debts'!$F$12&lt;'Your debts'!$F$15),AL69,0)+IF(AND('Your debts'!$F$13&lt;&gt;"",'Your debts'!$F$15&lt;&gt;"",'Your debts'!$F$13&lt;'Your debts'!$F$15),AQ69,0)+IF(AND('Your debts'!$F$14&lt;&gt;"",'Your debts'!$F$15&lt;&gt;"",'Your debts'!$F$14&lt;'Your debts'!$F$15),AV69,0)))))</f>
        <v/>
      </c>
      <c r="BC69" s="33">
        <f>BA69-BB69</f>
        <v/>
      </c>
    </row>
    <row r="70">
      <c r="A70" s="30" t="n">
        <v>55</v>
      </c>
      <c r="B70" s="31">
        <f>EDATE($B$15,55)</f>
        <v/>
      </c>
      <c r="C70" s="32">
        <f>IF(J69&lt;=0,0,F70-J69)+IF(O69&lt;=0,0,K70-O69)+IF(T69&lt;=0,0,P70-T69)+IF(Y69&lt;=0,0,U70-Y69)+IF(AD69&lt;=0,0,Z70-AD69)+IF(AI69&lt;=0,0,AE70-AI69)+IF(AN69&lt;=0,0,AJ70-AN69)+IF(AS69&lt;=0,0,AO70-AS69)+IF(AX69&lt;=0,0,AT70-AX69)+IF(BC69&lt;=0,0,AY70-BC69)</f>
        <v/>
      </c>
      <c r="D70" s="32">
        <f>G70+I70+L70+N70+Q70+S70+V70+X70+AA70+AC70+AF70+AH70+AK70+AM70+AP70+AR70+AU70+AW70+AZ70+BB70</f>
        <v/>
      </c>
      <c r="E70" s="32">
        <f>J70+O70+T70+Y70+AD70+AI70+AN70+AS70+AX70+BC70</f>
        <v/>
      </c>
      <c r="F70" s="33">
        <f>IF(J69&lt;=0,0,ROUND(J69*(1+'Your debts'!$D$6/1200),2))</f>
        <v/>
      </c>
      <c r="G70" s="33">
        <f>IF(F70&lt;=0,0,MIN('Your debts'!$E$6,F70))</f>
        <v/>
      </c>
      <c r="H70" s="33">
        <f>F70-G70</f>
        <v/>
      </c>
      <c r="I70" s="33">
        <f>IF('Your debts'!$F$6="",0,MIN(H70,MAX(0,MAX(0,'Your debts'!$C$19-(G70+L70+Q70+V70+AA70+AF70+AK70+AP70+AU70+AZ70))-(IF(AND('Your debts'!$F$7&lt;&gt;"",'Your debts'!$F$6&lt;&gt;"",'Your debts'!$F$7&lt;'Your debts'!$F$6),M70,0)+IF(AND('Your debts'!$F$8&lt;&gt;"",'Your debts'!$F$6&lt;&gt;"",'Your debts'!$F$8&lt;'Your debts'!$F$6),R70,0)+IF(AND('Your debts'!$F$9&lt;&gt;"",'Your debts'!$F$6&lt;&gt;"",'Your debts'!$F$9&lt;'Your debts'!$F$6),W70,0)+IF(AND('Your debts'!$F$10&lt;&gt;"",'Your debts'!$F$6&lt;&gt;"",'Your debts'!$F$10&lt;'Your debts'!$F$6),AB70,0)+IF(AND('Your debts'!$F$11&lt;&gt;"",'Your debts'!$F$6&lt;&gt;"",'Your debts'!$F$11&lt;'Your debts'!$F$6),AG70,0)+IF(AND('Your debts'!$F$12&lt;&gt;"",'Your debts'!$F$6&lt;&gt;"",'Your debts'!$F$12&lt;'Your debts'!$F$6),AL70,0)+IF(AND('Your debts'!$F$13&lt;&gt;"",'Your debts'!$F$6&lt;&gt;"",'Your debts'!$F$13&lt;'Your debts'!$F$6),AQ70,0)+IF(AND('Your debts'!$F$14&lt;&gt;"",'Your debts'!$F$6&lt;&gt;"",'Your debts'!$F$14&lt;'Your debts'!$F$6),AV70,0)+IF(AND('Your debts'!$F$15&lt;&gt;"",'Your debts'!$F$6&lt;&gt;"",'Your debts'!$F$15&lt;'Your debts'!$F$6),BA70,0)))))</f>
        <v/>
      </c>
      <c r="J70" s="33">
        <f>H70-I70</f>
        <v/>
      </c>
      <c r="K70" s="33">
        <f>IF(O69&lt;=0,0,ROUND(O69*(1+'Your debts'!$D$7/1200),2))</f>
        <v/>
      </c>
      <c r="L70" s="33">
        <f>IF(K70&lt;=0,0,MIN('Your debts'!$E$7,K70))</f>
        <v/>
      </c>
      <c r="M70" s="33">
        <f>K70-L70</f>
        <v/>
      </c>
      <c r="N70" s="33">
        <f>IF('Your debts'!$F$7="",0,MIN(M70,MAX(0,MAX(0,'Your debts'!$C$19-(G70+L70+Q70+V70+AA70+AF70+AK70+AP70+AU70+AZ70))-(IF(AND('Your debts'!$F$6&lt;&gt;"",'Your debts'!$F$7&lt;&gt;"",'Your debts'!$F$6&lt;'Your debts'!$F$7),H70,0)+IF(AND('Your debts'!$F$8&lt;&gt;"",'Your debts'!$F$7&lt;&gt;"",'Your debts'!$F$8&lt;'Your debts'!$F$7),R70,0)+IF(AND('Your debts'!$F$9&lt;&gt;"",'Your debts'!$F$7&lt;&gt;"",'Your debts'!$F$9&lt;'Your debts'!$F$7),W70,0)+IF(AND('Your debts'!$F$10&lt;&gt;"",'Your debts'!$F$7&lt;&gt;"",'Your debts'!$F$10&lt;'Your debts'!$F$7),AB70,0)+IF(AND('Your debts'!$F$11&lt;&gt;"",'Your debts'!$F$7&lt;&gt;"",'Your debts'!$F$11&lt;'Your debts'!$F$7),AG70,0)+IF(AND('Your debts'!$F$12&lt;&gt;"",'Your debts'!$F$7&lt;&gt;"",'Your debts'!$F$12&lt;'Your debts'!$F$7),AL70,0)+IF(AND('Your debts'!$F$13&lt;&gt;"",'Your debts'!$F$7&lt;&gt;"",'Your debts'!$F$13&lt;'Your debts'!$F$7),AQ70,0)+IF(AND('Your debts'!$F$14&lt;&gt;"",'Your debts'!$F$7&lt;&gt;"",'Your debts'!$F$14&lt;'Your debts'!$F$7),AV70,0)+IF(AND('Your debts'!$F$15&lt;&gt;"",'Your debts'!$F$7&lt;&gt;"",'Your debts'!$F$15&lt;'Your debts'!$F$7),BA70,0)))))</f>
        <v/>
      </c>
      <c r="O70" s="33">
        <f>M70-N70</f>
        <v/>
      </c>
      <c r="P70" s="33">
        <f>IF(T69&lt;=0,0,ROUND(T69*(1+'Your debts'!$D$8/1200),2))</f>
        <v/>
      </c>
      <c r="Q70" s="33">
        <f>IF(P70&lt;=0,0,MIN('Your debts'!$E$8,P70))</f>
        <v/>
      </c>
      <c r="R70" s="33">
        <f>P70-Q70</f>
        <v/>
      </c>
      <c r="S70" s="33">
        <f>IF('Your debts'!$F$8="",0,MIN(R70,MAX(0,MAX(0,'Your debts'!$C$19-(G70+L70+Q70+V70+AA70+AF70+AK70+AP70+AU70+AZ70))-(IF(AND('Your debts'!$F$6&lt;&gt;"",'Your debts'!$F$8&lt;&gt;"",'Your debts'!$F$6&lt;'Your debts'!$F$8),H70,0)+IF(AND('Your debts'!$F$7&lt;&gt;"",'Your debts'!$F$8&lt;&gt;"",'Your debts'!$F$7&lt;'Your debts'!$F$8),M70,0)+IF(AND('Your debts'!$F$9&lt;&gt;"",'Your debts'!$F$8&lt;&gt;"",'Your debts'!$F$9&lt;'Your debts'!$F$8),W70,0)+IF(AND('Your debts'!$F$10&lt;&gt;"",'Your debts'!$F$8&lt;&gt;"",'Your debts'!$F$10&lt;'Your debts'!$F$8),AB70,0)+IF(AND('Your debts'!$F$11&lt;&gt;"",'Your debts'!$F$8&lt;&gt;"",'Your debts'!$F$11&lt;'Your debts'!$F$8),AG70,0)+IF(AND('Your debts'!$F$12&lt;&gt;"",'Your debts'!$F$8&lt;&gt;"",'Your debts'!$F$12&lt;'Your debts'!$F$8),AL70,0)+IF(AND('Your debts'!$F$13&lt;&gt;"",'Your debts'!$F$8&lt;&gt;"",'Your debts'!$F$13&lt;'Your debts'!$F$8),AQ70,0)+IF(AND('Your debts'!$F$14&lt;&gt;"",'Your debts'!$F$8&lt;&gt;"",'Your debts'!$F$14&lt;'Your debts'!$F$8),AV70,0)+IF(AND('Your debts'!$F$15&lt;&gt;"",'Your debts'!$F$8&lt;&gt;"",'Your debts'!$F$15&lt;'Your debts'!$F$8),BA70,0)))))</f>
        <v/>
      </c>
      <c r="T70" s="33">
        <f>R70-S70</f>
        <v/>
      </c>
      <c r="U70" s="33">
        <f>IF(Y69&lt;=0,0,ROUND(Y69*(1+'Your debts'!$D$9/1200),2))</f>
        <v/>
      </c>
      <c r="V70" s="33">
        <f>IF(U70&lt;=0,0,MIN('Your debts'!$E$9,U70))</f>
        <v/>
      </c>
      <c r="W70" s="33">
        <f>U70-V70</f>
        <v/>
      </c>
      <c r="X70" s="33">
        <f>IF('Your debts'!$F$9="",0,MIN(W70,MAX(0,MAX(0,'Your debts'!$C$19-(G70+L70+Q70+V70+AA70+AF70+AK70+AP70+AU70+AZ70))-(IF(AND('Your debts'!$F$6&lt;&gt;"",'Your debts'!$F$9&lt;&gt;"",'Your debts'!$F$6&lt;'Your debts'!$F$9),H70,0)+IF(AND('Your debts'!$F$7&lt;&gt;"",'Your debts'!$F$9&lt;&gt;"",'Your debts'!$F$7&lt;'Your debts'!$F$9),M70,0)+IF(AND('Your debts'!$F$8&lt;&gt;"",'Your debts'!$F$9&lt;&gt;"",'Your debts'!$F$8&lt;'Your debts'!$F$9),R70,0)+IF(AND('Your debts'!$F$10&lt;&gt;"",'Your debts'!$F$9&lt;&gt;"",'Your debts'!$F$10&lt;'Your debts'!$F$9),AB70,0)+IF(AND('Your debts'!$F$11&lt;&gt;"",'Your debts'!$F$9&lt;&gt;"",'Your debts'!$F$11&lt;'Your debts'!$F$9),AG70,0)+IF(AND('Your debts'!$F$12&lt;&gt;"",'Your debts'!$F$9&lt;&gt;"",'Your debts'!$F$12&lt;'Your debts'!$F$9),AL70,0)+IF(AND('Your debts'!$F$13&lt;&gt;"",'Your debts'!$F$9&lt;&gt;"",'Your debts'!$F$13&lt;'Your debts'!$F$9),AQ70,0)+IF(AND('Your debts'!$F$14&lt;&gt;"",'Your debts'!$F$9&lt;&gt;"",'Your debts'!$F$14&lt;'Your debts'!$F$9),AV70,0)+IF(AND('Your debts'!$F$15&lt;&gt;"",'Your debts'!$F$9&lt;&gt;"",'Your debts'!$F$15&lt;'Your debts'!$F$9),BA70,0)))))</f>
        <v/>
      </c>
      <c r="Y70" s="33">
        <f>W70-X70</f>
        <v/>
      </c>
      <c r="Z70" s="33">
        <f>IF(AD69&lt;=0,0,ROUND(AD69*(1+'Your debts'!$D$10/1200),2))</f>
        <v/>
      </c>
      <c r="AA70" s="33">
        <f>IF(Z70&lt;=0,0,MIN('Your debts'!$E$10,Z70))</f>
        <v/>
      </c>
      <c r="AB70" s="33">
        <f>Z70-AA70</f>
        <v/>
      </c>
      <c r="AC70" s="33">
        <f>IF('Your debts'!$F$10="",0,MIN(AB70,MAX(0,MAX(0,'Your debts'!$C$19-(G70+L70+Q70+V70+AA70+AF70+AK70+AP70+AU70+AZ70))-(IF(AND('Your debts'!$F$6&lt;&gt;"",'Your debts'!$F$10&lt;&gt;"",'Your debts'!$F$6&lt;'Your debts'!$F$10),H70,0)+IF(AND('Your debts'!$F$7&lt;&gt;"",'Your debts'!$F$10&lt;&gt;"",'Your debts'!$F$7&lt;'Your debts'!$F$10),M70,0)+IF(AND('Your debts'!$F$8&lt;&gt;"",'Your debts'!$F$10&lt;&gt;"",'Your debts'!$F$8&lt;'Your debts'!$F$10),R70,0)+IF(AND('Your debts'!$F$9&lt;&gt;"",'Your debts'!$F$10&lt;&gt;"",'Your debts'!$F$9&lt;'Your debts'!$F$10),W70,0)+IF(AND('Your debts'!$F$11&lt;&gt;"",'Your debts'!$F$10&lt;&gt;"",'Your debts'!$F$11&lt;'Your debts'!$F$10),AG70,0)+IF(AND('Your debts'!$F$12&lt;&gt;"",'Your debts'!$F$10&lt;&gt;"",'Your debts'!$F$12&lt;'Your debts'!$F$10),AL70,0)+IF(AND('Your debts'!$F$13&lt;&gt;"",'Your debts'!$F$10&lt;&gt;"",'Your debts'!$F$13&lt;'Your debts'!$F$10),AQ70,0)+IF(AND('Your debts'!$F$14&lt;&gt;"",'Your debts'!$F$10&lt;&gt;"",'Your debts'!$F$14&lt;'Your debts'!$F$10),AV70,0)+IF(AND('Your debts'!$F$15&lt;&gt;"",'Your debts'!$F$10&lt;&gt;"",'Your debts'!$F$15&lt;'Your debts'!$F$10),BA70,0)))))</f>
        <v/>
      </c>
      <c r="AD70" s="33">
        <f>AB70-AC70</f>
        <v/>
      </c>
      <c r="AE70" s="33">
        <f>IF(AI69&lt;=0,0,ROUND(AI69*(1+'Your debts'!$D$11/1200),2))</f>
        <v/>
      </c>
      <c r="AF70" s="33">
        <f>IF(AE70&lt;=0,0,MIN('Your debts'!$E$11,AE70))</f>
        <v/>
      </c>
      <c r="AG70" s="33">
        <f>AE70-AF70</f>
        <v/>
      </c>
      <c r="AH70" s="33">
        <f>IF('Your debts'!$F$11="",0,MIN(AG70,MAX(0,MAX(0,'Your debts'!$C$19-(G70+L70+Q70+V70+AA70+AF70+AK70+AP70+AU70+AZ70))-(IF(AND('Your debts'!$F$6&lt;&gt;"",'Your debts'!$F$11&lt;&gt;"",'Your debts'!$F$6&lt;'Your debts'!$F$11),H70,0)+IF(AND('Your debts'!$F$7&lt;&gt;"",'Your debts'!$F$11&lt;&gt;"",'Your debts'!$F$7&lt;'Your debts'!$F$11),M70,0)+IF(AND('Your debts'!$F$8&lt;&gt;"",'Your debts'!$F$11&lt;&gt;"",'Your debts'!$F$8&lt;'Your debts'!$F$11),R70,0)+IF(AND('Your debts'!$F$9&lt;&gt;"",'Your debts'!$F$11&lt;&gt;"",'Your debts'!$F$9&lt;'Your debts'!$F$11),W70,0)+IF(AND('Your debts'!$F$10&lt;&gt;"",'Your debts'!$F$11&lt;&gt;"",'Your debts'!$F$10&lt;'Your debts'!$F$11),AB70,0)+IF(AND('Your debts'!$F$12&lt;&gt;"",'Your debts'!$F$11&lt;&gt;"",'Your debts'!$F$12&lt;'Your debts'!$F$11),AL70,0)+IF(AND('Your debts'!$F$13&lt;&gt;"",'Your debts'!$F$11&lt;&gt;"",'Your debts'!$F$13&lt;'Your debts'!$F$11),AQ70,0)+IF(AND('Your debts'!$F$14&lt;&gt;"",'Your debts'!$F$11&lt;&gt;"",'Your debts'!$F$14&lt;'Your debts'!$F$11),AV70,0)+IF(AND('Your debts'!$F$15&lt;&gt;"",'Your debts'!$F$11&lt;&gt;"",'Your debts'!$F$15&lt;'Your debts'!$F$11),BA70,0)))))</f>
        <v/>
      </c>
      <c r="AI70" s="33">
        <f>AG70-AH70</f>
        <v/>
      </c>
      <c r="AJ70" s="33">
        <f>IF(AN69&lt;=0,0,ROUND(AN69*(1+'Your debts'!$D$12/1200),2))</f>
        <v/>
      </c>
      <c r="AK70" s="33">
        <f>IF(AJ70&lt;=0,0,MIN('Your debts'!$E$12,AJ70))</f>
        <v/>
      </c>
      <c r="AL70" s="33">
        <f>AJ70-AK70</f>
        <v/>
      </c>
      <c r="AM70" s="33">
        <f>IF('Your debts'!$F$12="",0,MIN(AL70,MAX(0,MAX(0,'Your debts'!$C$19-(G70+L70+Q70+V70+AA70+AF70+AK70+AP70+AU70+AZ70))-(IF(AND('Your debts'!$F$6&lt;&gt;"",'Your debts'!$F$12&lt;&gt;"",'Your debts'!$F$6&lt;'Your debts'!$F$12),H70,0)+IF(AND('Your debts'!$F$7&lt;&gt;"",'Your debts'!$F$12&lt;&gt;"",'Your debts'!$F$7&lt;'Your debts'!$F$12),M70,0)+IF(AND('Your debts'!$F$8&lt;&gt;"",'Your debts'!$F$12&lt;&gt;"",'Your debts'!$F$8&lt;'Your debts'!$F$12),R70,0)+IF(AND('Your debts'!$F$9&lt;&gt;"",'Your debts'!$F$12&lt;&gt;"",'Your debts'!$F$9&lt;'Your debts'!$F$12),W70,0)+IF(AND('Your debts'!$F$10&lt;&gt;"",'Your debts'!$F$12&lt;&gt;"",'Your debts'!$F$10&lt;'Your debts'!$F$12),AB70,0)+IF(AND('Your debts'!$F$11&lt;&gt;"",'Your debts'!$F$12&lt;&gt;"",'Your debts'!$F$11&lt;'Your debts'!$F$12),AG70,0)+IF(AND('Your debts'!$F$13&lt;&gt;"",'Your debts'!$F$12&lt;&gt;"",'Your debts'!$F$13&lt;'Your debts'!$F$12),AQ70,0)+IF(AND('Your debts'!$F$14&lt;&gt;"",'Your debts'!$F$12&lt;&gt;"",'Your debts'!$F$14&lt;'Your debts'!$F$12),AV70,0)+IF(AND('Your debts'!$F$15&lt;&gt;"",'Your debts'!$F$12&lt;&gt;"",'Your debts'!$F$15&lt;'Your debts'!$F$12),BA70,0)))))</f>
        <v/>
      </c>
      <c r="AN70" s="33">
        <f>AL70-AM70</f>
        <v/>
      </c>
      <c r="AO70" s="33">
        <f>IF(AS69&lt;=0,0,ROUND(AS69*(1+'Your debts'!$D$13/1200),2))</f>
        <v/>
      </c>
      <c r="AP70" s="33">
        <f>IF(AO70&lt;=0,0,MIN('Your debts'!$E$13,AO70))</f>
        <v/>
      </c>
      <c r="AQ70" s="33">
        <f>AO70-AP70</f>
        <v/>
      </c>
      <c r="AR70" s="33">
        <f>IF('Your debts'!$F$13="",0,MIN(AQ70,MAX(0,MAX(0,'Your debts'!$C$19-(G70+L70+Q70+V70+AA70+AF70+AK70+AP70+AU70+AZ70))-(IF(AND('Your debts'!$F$6&lt;&gt;"",'Your debts'!$F$13&lt;&gt;"",'Your debts'!$F$6&lt;'Your debts'!$F$13),H70,0)+IF(AND('Your debts'!$F$7&lt;&gt;"",'Your debts'!$F$13&lt;&gt;"",'Your debts'!$F$7&lt;'Your debts'!$F$13),M70,0)+IF(AND('Your debts'!$F$8&lt;&gt;"",'Your debts'!$F$13&lt;&gt;"",'Your debts'!$F$8&lt;'Your debts'!$F$13),R70,0)+IF(AND('Your debts'!$F$9&lt;&gt;"",'Your debts'!$F$13&lt;&gt;"",'Your debts'!$F$9&lt;'Your debts'!$F$13),W70,0)+IF(AND('Your debts'!$F$10&lt;&gt;"",'Your debts'!$F$13&lt;&gt;"",'Your debts'!$F$10&lt;'Your debts'!$F$13),AB70,0)+IF(AND('Your debts'!$F$11&lt;&gt;"",'Your debts'!$F$13&lt;&gt;"",'Your debts'!$F$11&lt;'Your debts'!$F$13),AG70,0)+IF(AND('Your debts'!$F$12&lt;&gt;"",'Your debts'!$F$13&lt;&gt;"",'Your debts'!$F$12&lt;'Your debts'!$F$13),AL70,0)+IF(AND('Your debts'!$F$14&lt;&gt;"",'Your debts'!$F$13&lt;&gt;"",'Your debts'!$F$14&lt;'Your debts'!$F$13),AV70,0)+IF(AND('Your debts'!$F$15&lt;&gt;"",'Your debts'!$F$13&lt;&gt;"",'Your debts'!$F$15&lt;'Your debts'!$F$13),BA70,0)))))</f>
        <v/>
      </c>
      <c r="AS70" s="33">
        <f>AQ70-AR70</f>
        <v/>
      </c>
      <c r="AT70" s="33">
        <f>IF(AX69&lt;=0,0,ROUND(AX69*(1+'Your debts'!$D$14/1200),2))</f>
        <v/>
      </c>
      <c r="AU70" s="33">
        <f>IF(AT70&lt;=0,0,MIN('Your debts'!$E$14,AT70))</f>
        <v/>
      </c>
      <c r="AV70" s="33">
        <f>AT70-AU70</f>
        <v/>
      </c>
      <c r="AW70" s="33">
        <f>IF('Your debts'!$F$14="",0,MIN(AV70,MAX(0,MAX(0,'Your debts'!$C$19-(G70+L70+Q70+V70+AA70+AF70+AK70+AP70+AU70+AZ70))-(IF(AND('Your debts'!$F$6&lt;&gt;"",'Your debts'!$F$14&lt;&gt;"",'Your debts'!$F$6&lt;'Your debts'!$F$14),H70,0)+IF(AND('Your debts'!$F$7&lt;&gt;"",'Your debts'!$F$14&lt;&gt;"",'Your debts'!$F$7&lt;'Your debts'!$F$14),M70,0)+IF(AND('Your debts'!$F$8&lt;&gt;"",'Your debts'!$F$14&lt;&gt;"",'Your debts'!$F$8&lt;'Your debts'!$F$14),R70,0)+IF(AND('Your debts'!$F$9&lt;&gt;"",'Your debts'!$F$14&lt;&gt;"",'Your debts'!$F$9&lt;'Your debts'!$F$14),W70,0)+IF(AND('Your debts'!$F$10&lt;&gt;"",'Your debts'!$F$14&lt;&gt;"",'Your debts'!$F$10&lt;'Your debts'!$F$14),AB70,0)+IF(AND('Your debts'!$F$11&lt;&gt;"",'Your debts'!$F$14&lt;&gt;"",'Your debts'!$F$11&lt;'Your debts'!$F$14),AG70,0)+IF(AND('Your debts'!$F$12&lt;&gt;"",'Your debts'!$F$14&lt;&gt;"",'Your debts'!$F$12&lt;'Your debts'!$F$14),AL70,0)+IF(AND('Your debts'!$F$13&lt;&gt;"",'Your debts'!$F$14&lt;&gt;"",'Your debts'!$F$13&lt;'Your debts'!$F$14),AQ70,0)+IF(AND('Your debts'!$F$15&lt;&gt;"",'Your debts'!$F$14&lt;&gt;"",'Your debts'!$F$15&lt;'Your debts'!$F$14),BA70,0)))))</f>
        <v/>
      </c>
      <c r="AX70" s="33">
        <f>AV70-AW70</f>
        <v/>
      </c>
      <c r="AY70" s="33">
        <f>IF(BC69&lt;=0,0,ROUND(BC69*(1+'Your debts'!$D$15/1200),2))</f>
        <v/>
      </c>
      <c r="AZ70" s="33">
        <f>IF(AY70&lt;=0,0,MIN('Your debts'!$E$15,AY70))</f>
        <v/>
      </c>
      <c r="BA70" s="33">
        <f>AY70-AZ70</f>
        <v/>
      </c>
      <c r="BB70" s="33">
        <f>IF('Your debts'!$F$15="",0,MIN(BA70,MAX(0,MAX(0,'Your debts'!$C$19-(G70+L70+Q70+V70+AA70+AF70+AK70+AP70+AU70+AZ70))-(IF(AND('Your debts'!$F$6&lt;&gt;"",'Your debts'!$F$15&lt;&gt;"",'Your debts'!$F$6&lt;'Your debts'!$F$15),H70,0)+IF(AND('Your debts'!$F$7&lt;&gt;"",'Your debts'!$F$15&lt;&gt;"",'Your debts'!$F$7&lt;'Your debts'!$F$15),M70,0)+IF(AND('Your debts'!$F$8&lt;&gt;"",'Your debts'!$F$15&lt;&gt;"",'Your debts'!$F$8&lt;'Your debts'!$F$15),R70,0)+IF(AND('Your debts'!$F$9&lt;&gt;"",'Your debts'!$F$15&lt;&gt;"",'Your debts'!$F$9&lt;'Your debts'!$F$15),W70,0)+IF(AND('Your debts'!$F$10&lt;&gt;"",'Your debts'!$F$15&lt;&gt;"",'Your debts'!$F$10&lt;'Your debts'!$F$15),AB70,0)+IF(AND('Your debts'!$F$11&lt;&gt;"",'Your debts'!$F$15&lt;&gt;"",'Your debts'!$F$11&lt;'Your debts'!$F$15),AG70,0)+IF(AND('Your debts'!$F$12&lt;&gt;"",'Your debts'!$F$15&lt;&gt;"",'Your debts'!$F$12&lt;'Your debts'!$F$15),AL70,0)+IF(AND('Your debts'!$F$13&lt;&gt;"",'Your debts'!$F$15&lt;&gt;"",'Your debts'!$F$13&lt;'Your debts'!$F$15),AQ70,0)+IF(AND('Your debts'!$F$14&lt;&gt;"",'Your debts'!$F$15&lt;&gt;"",'Your debts'!$F$14&lt;'Your debts'!$F$15),AV70,0)))))</f>
        <v/>
      </c>
      <c r="BC70" s="33">
        <f>BA70-BB70</f>
        <v/>
      </c>
    </row>
    <row r="71">
      <c r="A71" s="30" t="n">
        <v>56</v>
      </c>
      <c r="B71" s="31">
        <f>EDATE($B$15,56)</f>
        <v/>
      </c>
      <c r="C71" s="32">
        <f>IF(J70&lt;=0,0,F71-J70)+IF(O70&lt;=0,0,K71-O70)+IF(T70&lt;=0,0,P71-T70)+IF(Y70&lt;=0,0,U71-Y70)+IF(AD70&lt;=0,0,Z71-AD70)+IF(AI70&lt;=0,0,AE71-AI70)+IF(AN70&lt;=0,0,AJ71-AN70)+IF(AS70&lt;=0,0,AO71-AS70)+IF(AX70&lt;=0,0,AT71-AX70)+IF(BC70&lt;=0,0,AY71-BC70)</f>
        <v/>
      </c>
      <c r="D71" s="32">
        <f>G71+I71+L71+N71+Q71+S71+V71+X71+AA71+AC71+AF71+AH71+AK71+AM71+AP71+AR71+AU71+AW71+AZ71+BB71</f>
        <v/>
      </c>
      <c r="E71" s="32">
        <f>J71+O71+T71+Y71+AD71+AI71+AN71+AS71+AX71+BC71</f>
        <v/>
      </c>
      <c r="F71" s="33">
        <f>IF(J70&lt;=0,0,ROUND(J70*(1+'Your debts'!$D$6/1200),2))</f>
        <v/>
      </c>
      <c r="G71" s="33">
        <f>IF(F71&lt;=0,0,MIN('Your debts'!$E$6,F71))</f>
        <v/>
      </c>
      <c r="H71" s="33">
        <f>F71-G71</f>
        <v/>
      </c>
      <c r="I71" s="33">
        <f>IF('Your debts'!$F$6="",0,MIN(H71,MAX(0,MAX(0,'Your debts'!$C$19-(G71+L71+Q71+V71+AA71+AF71+AK71+AP71+AU71+AZ71))-(IF(AND('Your debts'!$F$7&lt;&gt;"",'Your debts'!$F$6&lt;&gt;"",'Your debts'!$F$7&lt;'Your debts'!$F$6),M71,0)+IF(AND('Your debts'!$F$8&lt;&gt;"",'Your debts'!$F$6&lt;&gt;"",'Your debts'!$F$8&lt;'Your debts'!$F$6),R71,0)+IF(AND('Your debts'!$F$9&lt;&gt;"",'Your debts'!$F$6&lt;&gt;"",'Your debts'!$F$9&lt;'Your debts'!$F$6),W71,0)+IF(AND('Your debts'!$F$10&lt;&gt;"",'Your debts'!$F$6&lt;&gt;"",'Your debts'!$F$10&lt;'Your debts'!$F$6),AB71,0)+IF(AND('Your debts'!$F$11&lt;&gt;"",'Your debts'!$F$6&lt;&gt;"",'Your debts'!$F$11&lt;'Your debts'!$F$6),AG71,0)+IF(AND('Your debts'!$F$12&lt;&gt;"",'Your debts'!$F$6&lt;&gt;"",'Your debts'!$F$12&lt;'Your debts'!$F$6),AL71,0)+IF(AND('Your debts'!$F$13&lt;&gt;"",'Your debts'!$F$6&lt;&gt;"",'Your debts'!$F$13&lt;'Your debts'!$F$6),AQ71,0)+IF(AND('Your debts'!$F$14&lt;&gt;"",'Your debts'!$F$6&lt;&gt;"",'Your debts'!$F$14&lt;'Your debts'!$F$6),AV71,0)+IF(AND('Your debts'!$F$15&lt;&gt;"",'Your debts'!$F$6&lt;&gt;"",'Your debts'!$F$15&lt;'Your debts'!$F$6),BA71,0)))))</f>
        <v/>
      </c>
      <c r="J71" s="33">
        <f>H71-I71</f>
        <v/>
      </c>
      <c r="K71" s="33">
        <f>IF(O70&lt;=0,0,ROUND(O70*(1+'Your debts'!$D$7/1200),2))</f>
        <v/>
      </c>
      <c r="L71" s="33">
        <f>IF(K71&lt;=0,0,MIN('Your debts'!$E$7,K71))</f>
        <v/>
      </c>
      <c r="M71" s="33">
        <f>K71-L71</f>
        <v/>
      </c>
      <c r="N71" s="33">
        <f>IF('Your debts'!$F$7="",0,MIN(M71,MAX(0,MAX(0,'Your debts'!$C$19-(G71+L71+Q71+V71+AA71+AF71+AK71+AP71+AU71+AZ71))-(IF(AND('Your debts'!$F$6&lt;&gt;"",'Your debts'!$F$7&lt;&gt;"",'Your debts'!$F$6&lt;'Your debts'!$F$7),H71,0)+IF(AND('Your debts'!$F$8&lt;&gt;"",'Your debts'!$F$7&lt;&gt;"",'Your debts'!$F$8&lt;'Your debts'!$F$7),R71,0)+IF(AND('Your debts'!$F$9&lt;&gt;"",'Your debts'!$F$7&lt;&gt;"",'Your debts'!$F$9&lt;'Your debts'!$F$7),W71,0)+IF(AND('Your debts'!$F$10&lt;&gt;"",'Your debts'!$F$7&lt;&gt;"",'Your debts'!$F$10&lt;'Your debts'!$F$7),AB71,0)+IF(AND('Your debts'!$F$11&lt;&gt;"",'Your debts'!$F$7&lt;&gt;"",'Your debts'!$F$11&lt;'Your debts'!$F$7),AG71,0)+IF(AND('Your debts'!$F$12&lt;&gt;"",'Your debts'!$F$7&lt;&gt;"",'Your debts'!$F$12&lt;'Your debts'!$F$7),AL71,0)+IF(AND('Your debts'!$F$13&lt;&gt;"",'Your debts'!$F$7&lt;&gt;"",'Your debts'!$F$13&lt;'Your debts'!$F$7),AQ71,0)+IF(AND('Your debts'!$F$14&lt;&gt;"",'Your debts'!$F$7&lt;&gt;"",'Your debts'!$F$14&lt;'Your debts'!$F$7),AV71,0)+IF(AND('Your debts'!$F$15&lt;&gt;"",'Your debts'!$F$7&lt;&gt;"",'Your debts'!$F$15&lt;'Your debts'!$F$7),BA71,0)))))</f>
        <v/>
      </c>
      <c r="O71" s="33">
        <f>M71-N71</f>
        <v/>
      </c>
      <c r="P71" s="33">
        <f>IF(T70&lt;=0,0,ROUND(T70*(1+'Your debts'!$D$8/1200),2))</f>
        <v/>
      </c>
      <c r="Q71" s="33">
        <f>IF(P71&lt;=0,0,MIN('Your debts'!$E$8,P71))</f>
        <v/>
      </c>
      <c r="R71" s="33">
        <f>P71-Q71</f>
        <v/>
      </c>
      <c r="S71" s="33">
        <f>IF('Your debts'!$F$8="",0,MIN(R71,MAX(0,MAX(0,'Your debts'!$C$19-(G71+L71+Q71+V71+AA71+AF71+AK71+AP71+AU71+AZ71))-(IF(AND('Your debts'!$F$6&lt;&gt;"",'Your debts'!$F$8&lt;&gt;"",'Your debts'!$F$6&lt;'Your debts'!$F$8),H71,0)+IF(AND('Your debts'!$F$7&lt;&gt;"",'Your debts'!$F$8&lt;&gt;"",'Your debts'!$F$7&lt;'Your debts'!$F$8),M71,0)+IF(AND('Your debts'!$F$9&lt;&gt;"",'Your debts'!$F$8&lt;&gt;"",'Your debts'!$F$9&lt;'Your debts'!$F$8),W71,0)+IF(AND('Your debts'!$F$10&lt;&gt;"",'Your debts'!$F$8&lt;&gt;"",'Your debts'!$F$10&lt;'Your debts'!$F$8),AB71,0)+IF(AND('Your debts'!$F$11&lt;&gt;"",'Your debts'!$F$8&lt;&gt;"",'Your debts'!$F$11&lt;'Your debts'!$F$8),AG71,0)+IF(AND('Your debts'!$F$12&lt;&gt;"",'Your debts'!$F$8&lt;&gt;"",'Your debts'!$F$12&lt;'Your debts'!$F$8),AL71,0)+IF(AND('Your debts'!$F$13&lt;&gt;"",'Your debts'!$F$8&lt;&gt;"",'Your debts'!$F$13&lt;'Your debts'!$F$8),AQ71,0)+IF(AND('Your debts'!$F$14&lt;&gt;"",'Your debts'!$F$8&lt;&gt;"",'Your debts'!$F$14&lt;'Your debts'!$F$8),AV71,0)+IF(AND('Your debts'!$F$15&lt;&gt;"",'Your debts'!$F$8&lt;&gt;"",'Your debts'!$F$15&lt;'Your debts'!$F$8),BA71,0)))))</f>
        <v/>
      </c>
      <c r="T71" s="33">
        <f>R71-S71</f>
        <v/>
      </c>
      <c r="U71" s="33">
        <f>IF(Y70&lt;=0,0,ROUND(Y70*(1+'Your debts'!$D$9/1200),2))</f>
        <v/>
      </c>
      <c r="V71" s="33">
        <f>IF(U71&lt;=0,0,MIN('Your debts'!$E$9,U71))</f>
        <v/>
      </c>
      <c r="W71" s="33">
        <f>U71-V71</f>
        <v/>
      </c>
      <c r="X71" s="33">
        <f>IF('Your debts'!$F$9="",0,MIN(W71,MAX(0,MAX(0,'Your debts'!$C$19-(G71+L71+Q71+V71+AA71+AF71+AK71+AP71+AU71+AZ71))-(IF(AND('Your debts'!$F$6&lt;&gt;"",'Your debts'!$F$9&lt;&gt;"",'Your debts'!$F$6&lt;'Your debts'!$F$9),H71,0)+IF(AND('Your debts'!$F$7&lt;&gt;"",'Your debts'!$F$9&lt;&gt;"",'Your debts'!$F$7&lt;'Your debts'!$F$9),M71,0)+IF(AND('Your debts'!$F$8&lt;&gt;"",'Your debts'!$F$9&lt;&gt;"",'Your debts'!$F$8&lt;'Your debts'!$F$9),R71,0)+IF(AND('Your debts'!$F$10&lt;&gt;"",'Your debts'!$F$9&lt;&gt;"",'Your debts'!$F$10&lt;'Your debts'!$F$9),AB71,0)+IF(AND('Your debts'!$F$11&lt;&gt;"",'Your debts'!$F$9&lt;&gt;"",'Your debts'!$F$11&lt;'Your debts'!$F$9),AG71,0)+IF(AND('Your debts'!$F$12&lt;&gt;"",'Your debts'!$F$9&lt;&gt;"",'Your debts'!$F$12&lt;'Your debts'!$F$9),AL71,0)+IF(AND('Your debts'!$F$13&lt;&gt;"",'Your debts'!$F$9&lt;&gt;"",'Your debts'!$F$13&lt;'Your debts'!$F$9),AQ71,0)+IF(AND('Your debts'!$F$14&lt;&gt;"",'Your debts'!$F$9&lt;&gt;"",'Your debts'!$F$14&lt;'Your debts'!$F$9),AV71,0)+IF(AND('Your debts'!$F$15&lt;&gt;"",'Your debts'!$F$9&lt;&gt;"",'Your debts'!$F$15&lt;'Your debts'!$F$9),BA71,0)))))</f>
        <v/>
      </c>
      <c r="Y71" s="33">
        <f>W71-X71</f>
        <v/>
      </c>
      <c r="Z71" s="33">
        <f>IF(AD70&lt;=0,0,ROUND(AD70*(1+'Your debts'!$D$10/1200),2))</f>
        <v/>
      </c>
      <c r="AA71" s="33">
        <f>IF(Z71&lt;=0,0,MIN('Your debts'!$E$10,Z71))</f>
        <v/>
      </c>
      <c r="AB71" s="33">
        <f>Z71-AA71</f>
        <v/>
      </c>
      <c r="AC71" s="33">
        <f>IF('Your debts'!$F$10="",0,MIN(AB71,MAX(0,MAX(0,'Your debts'!$C$19-(G71+L71+Q71+V71+AA71+AF71+AK71+AP71+AU71+AZ71))-(IF(AND('Your debts'!$F$6&lt;&gt;"",'Your debts'!$F$10&lt;&gt;"",'Your debts'!$F$6&lt;'Your debts'!$F$10),H71,0)+IF(AND('Your debts'!$F$7&lt;&gt;"",'Your debts'!$F$10&lt;&gt;"",'Your debts'!$F$7&lt;'Your debts'!$F$10),M71,0)+IF(AND('Your debts'!$F$8&lt;&gt;"",'Your debts'!$F$10&lt;&gt;"",'Your debts'!$F$8&lt;'Your debts'!$F$10),R71,0)+IF(AND('Your debts'!$F$9&lt;&gt;"",'Your debts'!$F$10&lt;&gt;"",'Your debts'!$F$9&lt;'Your debts'!$F$10),W71,0)+IF(AND('Your debts'!$F$11&lt;&gt;"",'Your debts'!$F$10&lt;&gt;"",'Your debts'!$F$11&lt;'Your debts'!$F$10),AG71,0)+IF(AND('Your debts'!$F$12&lt;&gt;"",'Your debts'!$F$10&lt;&gt;"",'Your debts'!$F$12&lt;'Your debts'!$F$10),AL71,0)+IF(AND('Your debts'!$F$13&lt;&gt;"",'Your debts'!$F$10&lt;&gt;"",'Your debts'!$F$13&lt;'Your debts'!$F$10),AQ71,0)+IF(AND('Your debts'!$F$14&lt;&gt;"",'Your debts'!$F$10&lt;&gt;"",'Your debts'!$F$14&lt;'Your debts'!$F$10),AV71,0)+IF(AND('Your debts'!$F$15&lt;&gt;"",'Your debts'!$F$10&lt;&gt;"",'Your debts'!$F$15&lt;'Your debts'!$F$10),BA71,0)))))</f>
        <v/>
      </c>
      <c r="AD71" s="33">
        <f>AB71-AC71</f>
        <v/>
      </c>
      <c r="AE71" s="33">
        <f>IF(AI70&lt;=0,0,ROUND(AI70*(1+'Your debts'!$D$11/1200),2))</f>
        <v/>
      </c>
      <c r="AF71" s="33">
        <f>IF(AE71&lt;=0,0,MIN('Your debts'!$E$11,AE71))</f>
        <v/>
      </c>
      <c r="AG71" s="33">
        <f>AE71-AF71</f>
        <v/>
      </c>
      <c r="AH71" s="33">
        <f>IF('Your debts'!$F$11="",0,MIN(AG71,MAX(0,MAX(0,'Your debts'!$C$19-(G71+L71+Q71+V71+AA71+AF71+AK71+AP71+AU71+AZ71))-(IF(AND('Your debts'!$F$6&lt;&gt;"",'Your debts'!$F$11&lt;&gt;"",'Your debts'!$F$6&lt;'Your debts'!$F$11),H71,0)+IF(AND('Your debts'!$F$7&lt;&gt;"",'Your debts'!$F$11&lt;&gt;"",'Your debts'!$F$7&lt;'Your debts'!$F$11),M71,0)+IF(AND('Your debts'!$F$8&lt;&gt;"",'Your debts'!$F$11&lt;&gt;"",'Your debts'!$F$8&lt;'Your debts'!$F$11),R71,0)+IF(AND('Your debts'!$F$9&lt;&gt;"",'Your debts'!$F$11&lt;&gt;"",'Your debts'!$F$9&lt;'Your debts'!$F$11),W71,0)+IF(AND('Your debts'!$F$10&lt;&gt;"",'Your debts'!$F$11&lt;&gt;"",'Your debts'!$F$10&lt;'Your debts'!$F$11),AB71,0)+IF(AND('Your debts'!$F$12&lt;&gt;"",'Your debts'!$F$11&lt;&gt;"",'Your debts'!$F$12&lt;'Your debts'!$F$11),AL71,0)+IF(AND('Your debts'!$F$13&lt;&gt;"",'Your debts'!$F$11&lt;&gt;"",'Your debts'!$F$13&lt;'Your debts'!$F$11),AQ71,0)+IF(AND('Your debts'!$F$14&lt;&gt;"",'Your debts'!$F$11&lt;&gt;"",'Your debts'!$F$14&lt;'Your debts'!$F$11),AV71,0)+IF(AND('Your debts'!$F$15&lt;&gt;"",'Your debts'!$F$11&lt;&gt;"",'Your debts'!$F$15&lt;'Your debts'!$F$11),BA71,0)))))</f>
        <v/>
      </c>
      <c r="AI71" s="33">
        <f>AG71-AH71</f>
        <v/>
      </c>
      <c r="AJ71" s="33">
        <f>IF(AN70&lt;=0,0,ROUND(AN70*(1+'Your debts'!$D$12/1200),2))</f>
        <v/>
      </c>
      <c r="AK71" s="33">
        <f>IF(AJ71&lt;=0,0,MIN('Your debts'!$E$12,AJ71))</f>
        <v/>
      </c>
      <c r="AL71" s="33">
        <f>AJ71-AK71</f>
        <v/>
      </c>
      <c r="AM71" s="33">
        <f>IF('Your debts'!$F$12="",0,MIN(AL71,MAX(0,MAX(0,'Your debts'!$C$19-(G71+L71+Q71+V71+AA71+AF71+AK71+AP71+AU71+AZ71))-(IF(AND('Your debts'!$F$6&lt;&gt;"",'Your debts'!$F$12&lt;&gt;"",'Your debts'!$F$6&lt;'Your debts'!$F$12),H71,0)+IF(AND('Your debts'!$F$7&lt;&gt;"",'Your debts'!$F$12&lt;&gt;"",'Your debts'!$F$7&lt;'Your debts'!$F$12),M71,0)+IF(AND('Your debts'!$F$8&lt;&gt;"",'Your debts'!$F$12&lt;&gt;"",'Your debts'!$F$8&lt;'Your debts'!$F$12),R71,0)+IF(AND('Your debts'!$F$9&lt;&gt;"",'Your debts'!$F$12&lt;&gt;"",'Your debts'!$F$9&lt;'Your debts'!$F$12),W71,0)+IF(AND('Your debts'!$F$10&lt;&gt;"",'Your debts'!$F$12&lt;&gt;"",'Your debts'!$F$10&lt;'Your debts'!$F$12),AB71,0)+IF(AND('Your debts'!$F$11&lt;&gt;"",'Your debts'!$F$12&lt;&gt;"",'Your debts'!$F$11&lt;'Your debts'!$F$12),AG71,0)+IF(AND('Your debts'!$F$13&lt;&gt;"",'Your debts'!$F$12&lt;&gt;"",'Your debts'!$F$13&lt;'Your debts'!$F$12),AQ71,0)+IF(AND('Your debts'!$F$14&lt;&gt;"",'Your debts'!$F$12&lt;&gt;"",'Your debts'!$F$14&lt;'Your debts'!$F$12),AV71,0)+IF(AND('Your debts'!$F$15&lt;&gt;"",'Your debts'!$F$12&lt;&gt;"",'Your debts'!$F$15&lt;'Your debts'!$F$12),BA71,0)))))</f>
        <v/>
      </c>
      <c r="AN71" s="33">
        <f>AL71-AM71</f>
        <v/>
      </c>
      <c r="AO71" s="33">
        <f>IF(AS70&lt;=0,0,ROUND(AS70*(1+'Your debts'!$D$13/1200),2))</f>
        <v/>
      </c>
      <c r="AP71" s="33">
        <f>IF(AO71&lt;=0,0,MIN('Your debts'!$E$13,AO71))</f>
        <v/>
      </c>
      <c r="AQ71" s="33">
        <f>AO71-AP71</f>
        <v/>
      </c>
      <c r="AR71" s="33">
        <f>IF('Your debts'!$F$13="",0,MIN(AQ71,MAX(0,MAX(0,'Your debts'!$C$19-(G71+L71+Q71+V71+AA71+AF71+AK71+AP71+AU71+AZ71))-(IF(AND('Your debts'!$F$6&lt;&gt;"",'Your debts'!$F$13&lt;&gt;"",'Your debts'!$F$6&lt;'Your debts'!$F$13),H71,0)+IF(AND('Your debts'!$F$7&lt;&gt;"",'Your debts'!$F$13&lt;&gt;"",'Your debts'!$F$7&lt;'Your debts'!$F$13),M71,0)+IF(AND('Your debts'!$F$8&lt;&gt;"",'Your debts'!$F$13&lt;&gt;"",'Your debts'!$F$8&lt;'Your debts'!$F$13),R71,0)+IF(AND('Your debts'!$F$9&lt;&gt;"",'Your debts'!$F$13&lt;&gt;"",'Your debts'!$F$9&lt;'Your debts'!$F$13),W71,0)+IF(AND('Your debts'!$F$10&lt;&gt;"",'Your debts'!$F$13&lt;&gt;"",'Your debts'!$F$10&lt;'Your debts'!$F$13),AB71,0)+IF(AND('Your debts'!$F$11&lt;&gt;"",'Your debts'!$F$13&lt;&gt;"",'Your debts'!$F$11&lt;'Your debts'!$F$13),AG71,0)+IF(AND('Your debts'!$F$12&lt;&gt;"",'Your debts'!$F$13&lt;&gt;"",'Your debts'!$F$12&lt;'Your debts'!$F$13),AL71,0)+IF(AND('Your debts'!$F$14&lt;&gt;"",'Your debts'!$F$13&lt;&gt;"",'Your debts'!$F$14&lt;'Your debts'!$F$13),AV71,0)+IF(AND('Your debts'!$F$15&lt;&gt;"",'Your debts'!$F$13&lt;&gt;"",'Your debts'!$F$15&lt;'Your debts'!$F$13),BA71,0)))))</f>
        <v/>
      </c>
      <c r="AS71" s="33">
        <f>AQ71-AR71</f>
        <v/>
      </c>
      <c r="AT71" s="33">
        <f>IF(AX70&lt;=0,0,ROUND(AX70*(1+'Your debts'!$D$14/1200),2))</f>
        <v/>
      </c>
      <c r="AU71" s="33">
        <f>IF(AT71&lt;=0,0,MIN('Your debts'!$E$14,AT71))</f>
        <v/>
      </c>
      <c r="AV71" s="33">
        <f>AT71-AU71</f>
        <v/>
      </c>
      <c r="AW71" s="33">
        <f>IF('Your debts'!$F$14="",0,MIN(AV71,MAX(0,MAX(0,'Your debts'!$C$19-(G71+L71+Q71+V71+AA71+AF71+AK71+AP71+AU71+AZ71))-(IF(AND('Your debts'!$F$6&lt;&gt;"",'Your debts'!$F$14&lt;&gt;"",'Your debts'!$F$6&lt;'Your debts'!$F$14),H71,0)+IF(AND('Your debts'!$F$7&lt;&gt;"",'Your debts'!$F$14&lt;&gt;"",'Your debts'!$F$7&lt;'Your debts'!$F$14),M71,0)+IF(AND('Your debts'!$F$8&lt;&gt;"",'Your debts'!$F$14&lt;&gt;"",'Your debts'!$F$8&lt;'Your debts'!$F$14),R71,0)+IF(AND('Your debts'!$F$9&lt;&gt;"",'Your debts'!$F$14&lt;&gt;"",'Your debts'!$F$9&lt;'Your debts'!$F$14),W71,0)+IF(AND('Your debts'!$F$10&lt;&gt;"",'Your debts'!$F$14&lt;&gt;"",'Your debts'!$F$10&lt;'Your debts'!$F$14),AB71,0)+IF(AND('Your debts'!$F$11&lt;&gt;"",'Your debts'!$F$14&lt;&gt;"",'Your debts'!$F$11&lt;'Your debts'!$F$14),AG71,0)+IF(AND('Your debts'!$F$12&lt;&gt;"",'Your debts'!$F$14&lt;&gt;"",'Your debts'!$F$12&lt;'Your debts'!$F$14),AL71,0)+IF(AND('Your debts'!$F$13&lt;&gt;"",'Your debts'!$F$14&lt;&gt;"",'Your debts'!$F$13&lt;'Your debts'!$F$14),AQ71,0)+IF(AND('Your debts'!$F$15&lt;&gt;"",'Your debts'!$F$14&lt;&gt;"",'Your debts'!$F$15&lt;'Your debts'!$F$14),BA71,0)))))</f>
        <v/>
      </c>
      <c r="AX71" s="33">
        <f>AV71-AW71</f>
        <v/>
      </c>
      <c r="AY71" s="33">
        <f>IF(BC70&lt;=0,0,ROUND(BC70*(1+'Your debts'!$D$15/1200),2))</f>
        <v/>
      </c>
      <c r="AZ71" s="33">
        <f>IF(AY71&lt;=0,0,MIN('Your debts'!$E$15,AY71))</f>
        <v/>
      </c>
      <c r="BA71" s="33">
        <f>AY71-AZ71</f>
        <v/>
      </c>
      <c r="BB71" s="33">
        <f>IF('Your debts'!$F$15="",0,MIN(BA71,MAX(0,MAX(0,'Your debts'!$C$19-(G71+L71+Q71+V71+AA71+AF71+AK71+AP71+AU71+AZ71))-(IF(AND('Your debts'!$F$6&lt;&gt;"",'Your debts'!$F$15&lt;&gt;"",'Your debts'!$F$6&lt;'Your debts'!$F$15),H71,0)+IF(AND('Your debts'!$F$7&lt;&gt;"",'Your debts'!$F$15&lt;&gt;"",'Your debts'!$F$7&lt;'Your debts'!$F$15),M71,0)+IF(AND('Your debts'!$F$8&lt;&gt;"",'Your debts'!$F$15&lt;&gt;"",'Your debts'!$F$8&lt;'Your debts'!$F$15),R71,0)+IF(AND('Your debts'!$F$9&lt;&gt;"",'Your debts'!$F$15&lt;&gt;"",'Your debts'!$F$9&lt;'Your debts'!$F$15),W71,0)+IF(AND('Your debts'!$F$10&lt;&gt;"",'Your debts'!$F$15&lt;&gt;"",'Your debts'!$F$10&lt;'Your debts'!$F$15),AB71,0)+IF(AND('Your debts'!$F$11&lt;&gt;"",'Your debts'!$F$15&lt;&gt;"",'Your debts'!$F$11&lt;'Your debts'!$F$15),AG71,0)+IF(AND('Your debts'!$F$12&lt;&gt;"",'Your debts'!$F$15&lt;&gt;"",'Your debts'!$F$12&lt;'Your debts'!$F$15),AL71,0)+IF(AND('Your debts'!$F$13&lt;&gt;"",'Your debts'!$F$15&lt;&gt;"",'Your debts'!$F$13&lt;'Your debts'!$F$15),AQ71,0)+IF(AND('Your debts'!$F$14&lt;&gt;"",'Your debts'!$F$15&lt;&gt;"",'Your debts'!$F$14&lt;'Your debts'!$F$15),AV71,0)))))</f>
        <v/>
      </c>
      <c r="BC71" s="33">
        <f>BA71-BB71</f>
        <v/>
      </c>
    </row>
    <row r="72">
      <c r="A72" s="30" t="n">
        <v>57</v>
      </c>
      <c r="B72" s="31">
        <f>EDATE($B$15,57)</f>
        <v/>
      </c>
      <c r="C72" s="32">
        <f>IF(J71&lt;=0,0,F72-J71)+IF(O71&lt;=0,0,K72-O71)+IF(T71&lt;=0,0,P72-T71)+IF(Y71&lt;=0,0,U72-Y71)+IF(AD71&lt;=0,0,Z72-AD71)+IF(AI71&lt;=0,0,AE72-AI71)+IF(AN71&lt;=0,0,AJ72-AN71)+IF(AS71&lt;=0,0,AO72-AS71)+IF(AX71&lt;=0,0,AT72-AX71)+IF(BC71&lt;=0,0,AY72-BC71)</f>
        <v/>
      </c>
      <c r="D72" s="32">
        <f>G72+I72+L72+N72+Q72+S72+V72+X72+AA72+AC72+AF72+AH72+AK72+AM72+AP72+AR72+AU72+AW72+AZ72+BB72</f>
        <v/>
      </c>
      <c r="E72" s="32">
        <f>J72+O72+T72+Y72+AD72+AI72+AN72+AS72+AX72+BC72</f>
        <v/>
      </c>
      <c r="F72" s="33">
        <f>IF(J71&lt;=0,0,ROUND(J71*(1+'Your debts'!$D$6/1200),2))</f>
        <v/>
      </c>
      <c r="G72" s="33">
        <f>IF(F72&lt;=0,0,MIN('Your debts'!$E$6,F72))</f>
        <v/>
      </c>
      <c r="H72" s="33">
        <f>F72-G72</f>
        <v/>
      </c>
      <c r="I72" s="33">
        <f>IF('Your debts'!$F$6="",0,MIN(H72,MAX(0,MAX(0,'Your debts'!$C$19-(G72+L72+Q72+V72+AA72+AF72+AK72+AP72+AU72+AZ72))-(IF(AND('Your debts'!$F$7&lt;&gt;"",'Your debts'!$F$6&lt;&gt;"",'Your debts'!$F$7&lt;'Your debts'!$F$6),M72,0)+IF(AND('Your debts'!$F$8&lt;&gt;"",'Your debts'!$F$6&lt;&gt;"",'Your debts'!$F$8&lt;'Your debts'!$F$6),R72,0)+IF(AND('Your debts'!$F$9&lt;&gt;"",'Your debts'!$F$6&lt;&gt;"",'Your debts'!$F$9&lt;'Your debts'!$F$6),W72,0)+IF(AND('Your debts'!$F$10&lt;&gt;"",'Your debts'!$F$6&lt;&gt;"",'Your debts'!$F$10&lt;'Your debts'!$F$6),AB72,0)+IF(AND('Your debts'!$F$11&lt;&gt;"",'Your debts'!$F$6&lt;&gt;"",'Your debts'!$F$11&lt;'Your debts'!$F$6),AG72,0)+IF(AND('Your debts'!$F$12&lt;&gt;"",'Your debts'!$F$6&lt;&gt;"",'Your debts'!$F$12&lt;'Your debts'!$F$6),AL72,0)+IF(AND('Your debts'!$F$13&lt;&gt;"",'Your debts'!$F$6&lt;&gt;"",'Your debts'!$F$13&lt;'Your debts'!$F$6),AQ72,0)+IF(AND('Your debts'!$F$14&lt;&gt;"",'Your debts'!$F$6&lt;&gt;"",'Your debts'!$F$14&lt;'Your debts'!$F$6),AV72,0)+IF(AND('Your debts'!$F$15&lt;&gt;"",'Your debts'!$F$6&lt;&gt;"",'Your debts'!$F$15&lt;'Your debts'!$F$6),BA72,0)))))</f>
        <v/>
      </c>
      <c r="J72" s="33">
        <f>H72-I72</f>
        <v/>
      </c>
      <c r="K72" s="33">
        <f>IF(O71&lt;=0,0,ROUND(O71*(1+'Your debts'!$D$7/1200),2))</f>
        <v/>
      </c>
      <c r="L72" s="33">
        <f>IF(K72&lt;=0,0,MIN('Your debts'!$E$7,K72))</f>
        <v/>
      </c>
      <c r="M72" s="33">
        <f>K72-L72</f>
        <v/>
      </c>
      <c r="N72" s="33">
        <f>IF('Your debts'!$F$7="",0,MIN(M72,MAX(0,MAX(0,'Your debts'!$C$19-(G72+L72+Q72+V72+AA72+AF72+AK72+AP72+AU72+AZ72))-(IF(AND('Your debts'!$F$6&lt;&gt;"",'Your debts'!$F$7&lt;&gt;"",'Your debts'!$F$6&lt;'Your debts'!$F$7),H72,0)+IF(AND('Your debts'!$F$8&lt;&gt;"",'Your debts'!$F$7&lt;&gt;"",'Your debts'!$F$8&lt;'Your debts'!$F$7),R72,0)+IF(AND('Your debts'!$F$9&lt;&gt;"",'Your debts'!$F$7&lt;&gt;"",'Your debts'!$F$9&lt;'Your debts'!$F$7),W72,0)+IF(AND('Your debts'!$F$10&lt;&gt;"",'Your debts'!$F$7&lt;&gt;"",'Your debts'!$F$10&lt;'Your debts'!$F$7),AB72,0)+IF(AND('Your debts'!$F$11&lt;&gt;"",'Your debts'!$F$7&lt;&gt;"",'Your debts'!$F$11&lt;'Your debts'!$F$7),AG72,0)+IF(AND('Your debts'!$F$12&lt;&gt;"",'Your debts'!$F$7&lt;&gt;"",'Your debts'!$F$12&lt;'Your debts'!$F$7),AL72,0)+IF(AND('Your debts'!$F$13&lt;&gt;"",'Your debts'!$F$7&lt;&gt;"",'Your debts'!$F$13&lt;'Your debts'!$F$7),AQ72,0)+IF(AND('Your debts'!$F$14&lt;&gt;"",'Your debts'!$F$7&lt;&gt;"",'Your debts'!$F$14&lt;'Your debts'!$F$7),AV72,0)+IF(AND('Your debts'!$F$15&lt;&gt;"",'Your debts'!$F$7&lt;&gt;"",'Your debts'!$F$15&lt;'Your debts'!$F$7),BA72,0)))))</f>
        <v/>
      </c>
      <c r="O72" s="33">
        <f>M72-N72</f>
        <v/>
      </c>
      <c r="P72" s="33">
        <f>IF(T71&lt;=0,0,ROUND(T71*(1+'Your debts'!$D$8/1200),2))</f>
        <v/>
      </c>
      <c r="Q72" s="33">
        <f>IF(P72&lt;=0,0,MIN('Your debts'!$E$8,P72))</f>
        <v/>
      </c>
      <c r="R72" s="33">
        <f>P72-Q72</f>
        <v/>
      </c>
      <c r="S72" s="33">
        <f>IF('Your debts'!$F$8="",0,MIN(R72,MAX(0,MAX(0,'Your debts'!$C$19-(G72+L72+Q72+V72+AA72+AF72+AK72+AP72+AU72+AZ72))-(IF(AND('Your debts'!$F$6&lt;&gt;"",'Your debts'!$F$8&lt;&gt;"",'Your debts'!$F$6&lt;'Your debts'!$F$8),H72,0)+IF(AND('Your debts'!$F$7&lt;&gt;"",'Your debts'!$F$8&lt;&gt;"",'Your debts'!$F$7&lt;'Your debts'!$F$8),M72,0)+IF(AND('Your debts'!$F$9&lt;&gt;"",'Your debts'!$F$8&lt;&gt;"",'Your debts'!$F$9&lt;'Your debts'!$F$8),W72,0)+IF(AND('Your debts'!$F$10&lt;&gt;"",'Your debts'!$F$8&lt;&gt;"",'Your debts'!$F$10&lt;'Your debts'!$F$8),AB72,0)+IF(AND('Your debts'!$F$11&lt;&gt;"",'Your debts'!$F$8&lt;&gt;"",'Your debts'!$F$11&lt;'Your debts'!$F$8),AG72,0)+IF(AND('Your debts'!$F$12&lt;&gt;"",'Your debts'!$F$8&lt;&gt;"",'Your debts'!$F$12&lt;'Your debts'!$F$8),AL72,0)+IF(AND('Your debts'!$F$13&lt;&gt;"",'Your debts'!$F$8&lt;&gt;"",'Your debts'!$F$13&lt;'Your debts'!$F$8),AQ72,0)+IF(AND('Your debts'!$F$14&lt;&gt;"",'Your debts'!$F$8&lt;&gt;"",'Your debts'!$F$14&lt;'Your debts'!$F$8),AV72,0)+IF(AND('Your debts'!$F$15&lt;&gt;"",'Your debts'!$F$8&lt;&gt;"",'Your debts'!$F$15&lt;'Your debts'!$F$8),BA72,0)))))</f>
        <v/>
      </c>
      <c r="T72" s="33">
        <f>R72-S72</f>
        <v/>
      </c>
      <c r="U72" s="33">
        <f>IF(Y71&lt;=0,0,ROUND(Y71*(1+'Your debts'!$D$9/1200),2))</f>
        <v/>
      </c>
      <c r="V72" s="33">
        <f>IF(U72&lt;=0,0,MIN('Your debts'!$E$9,U72))</f>
        <v/>
      </c>
      <c r="W72" s="33">
        <f>U72-V72</f>
        <v/>
      </c>
      <c r="X72" s="33">
        <f>IF('Your debts'!$F$9="",0,MIN(W72,MAX(0,MAX(0,'Your debts'!$C$19-(G72+L72+Q72+V72+AA72+AF72+AK72+AP72+AU72+AZ72))-(IF(AND('Your debts'!$F$6&lt;&gt;"",'Your debts'!$F$9&lt;&gt;"",'Your debts'!$F$6&lt;'Your debts'!$F$9),H72,0)+IF(AND('Your debts'!$F$7&lt;&gt;"",'Your debts'!$F$9&lt;&gt;"",'Your debts'!$F$7&lt;'Your debts'!$F$9),M72,0)+IF(AND('Your debts'!$F$8&lt;&gt;"",'Your debts'!$F$9&lt;&gt;"",'Your debts'!$F$8&lt;'Your debts'!$F$9),R72,0)+IF(AND('Your debts'!$F$10&lt;&gt;"",'Your debts'!$F$9&lt;&gt;"",'Your debts'!$F$10&lt;'Your debts'!$F$9),AB72,0)+IF(AND('Your debts'!$F$11&lt;&gt;"",'Your debts'!$F$9&lt;&gt;"",'Your debts'!$F$11&lt;'Your debts'!$F$9),AG72,0)+IF(AND('Your debts'!$F$12&lt;&gt;"",'Your debts'!$F$9&lt;&gt;"",'Your debts'!$F$12&lt;'Your debts'!$F$9),AL72,0)+IF(AND('Your debts'!$F$13&lt;&gt;"",'Your debts'!$F$9&lt;&gt;"",'Your debts'!$F$13&lt;'Your debts'!$F$9),AQ72,0)+IF(AND('Your debts'!$F$14&lt;&gt;"",'Your debts'!$F$9&lt;&gt;"",'Your debts'!$F$14&lt;'Your debts'!$F$9),AV72,0)+IF(AND('Your debts'!$F$15&lt;&gt;"",'Your debts'!$F$9&lt;&gt;"",'Your debts'!$F$15&lt;'Your debts'!$F$9),BA72,0)))))</f>
        <v/>
      </c>
      <c r="Y72" s="33">
        <f>W72-X72</f>
        <v/>
      </c>
      <c r="Z72" s="33">
        <f>IF(AD71&lt;=0,0,ROUND(AD71*(1+'Your debts'!$D$10/1200),2))</f>
        <v/>
      </c>
      <c r="AA72" s="33">
        <f>IF(Z72&lt;=0,0,MIN('Your debts'!$E$10,Z72))</f>
        <v/>
      </c>
      <c r="AB72" s="33">
        <f>Z72-AA72</f>
        <v/>
      </c>
      <c r="AC72" s="33">
        <f>IF('Your debts'!$F$10="",0,MIN(AB72,MAX(0,MAX(0,'Your debts'!$C$19-(G72+L72+Q72+V72+AA72+AF72+AK72+AP72+AU72+AZ72))-(IF(AND('Your debts'!$F$6&lt;&gt;"",'Your debts'!$F$10&lt;&gt;"",'Your debts'!$F$6&lt;'Your debts'!$F$10),H72,0)+IF(AND('Your debts'!$F$7&lt;&gt;"",'Your debts'!$F$10&lt;&gt;"",'Your debts'!$F$7&lt;'Your debts'!$F$10),M72,0)+IF(AND('Your debts'!$F$8&lt;&gt;"",'Your debts'!$F$10&lt;&gt;"",'Your debts'!$F$8&lt;'Your debts'!$F$10),R72,0)+IF(AND('Your debts'!$F$9&lt;&gt;"",'Your debts'!$F$10&lt;&gt;"",'Your debts'!$F$9&lt;'Your debts'!$F$10),W72,0)+IF(AND('Your debts'!$F$11&lt;&gt;"",'Your debts'!$F$10&lt;&gt;"",'Your debts'!$F$11&lt;'Your debts'!$F$10),AG72,0)+IF(AND('Your debts'!$F$12&lt;&gt;"",'Your debts'!$F$10&lt;&gt;"",'Your debts'!$F$12&lt;'Your debts'!$F$10),AL72,0)+IF(AND('Your debts'!$F$13&lt;&gt;"",'Your debts'!$F$10&lt;&gt;"",'Your debts'!$F$13&lt;'Your debts'!$F$10),AQ72,0)+IF(AND('Your debts'!$F$14&lt;&gt;"",'Your debts'!$F$10&lt;&gt;"",'Your debts'!$F$14&lt;'Your debts'!$F$10),AV72,0)+IF(AND('Your debts'!$F$15&lt;&gt;"",'Your debts'!$F$10&lt;&gt;"",'Your debts'!$F$15&lt;'Your debts'!$F$10),BA72,0)))))</f>
        <v/>
      </c>
      <c r="AD72" s="33">
        <f>AB72-AC72</f>
        <v/>
      </c>
      <c r="AE72" s="33">
        <f>IF(AI71&lt;=0,0,ROUND(AI71*(1+'Your debts'!$D$11/1200),2))</f>
        <v/>
      </c>
      <c r="AF72" s="33">
        <f>IF(AE72&lt;=0,0,MIN('Your debts'!$E$11,AE72))</f>
        <v/>
      </c>
      <c r="AG72" s="33">
        <f>AE72-AF72</f>
        <v/>
      </c>
      <c r="AH72" s="33">
        <f>IF('Your debts'!$F$11="",0,MIN(AG72,MAX(0,MAX(0,'Your debts'!$C$19-(G72+L72+Q72+V72+AA72+AF72+AK72+AP72+AU72+AZ72))-(IF(AND('Your debts'!$F$6&lt;&gt;"",'Your debts'!$F$11&lt;&gt;"",'Your debts'!$F$6&lt;'Your debts'!$F$11),H72,0)+IF(AND('Your debts'!$F$7&lt;&gt;"",'Your debts'!$F$11&lt;&gt;"",'Your debts'!$F$7&lt;'Your debts'!$F$11),M72,0)+IF(AND('Your debts'!$F$8&lt;&gt;"",'Your debts'!$F$11&lt;&gt;"",'Your debts'!$F$8&lt;'Your debts'!$F$11),R72,0)+IF(AND('Your debts'!$F$9&lt;&gt;"",'Your debts'!$F$11&lt;&gt;"",'Your debts'!$F$9&lt;'Your debts'!$F$11),W72,0)+IF(AND('Your debts'!$F$10&lt;&gt;"",'Your debts'!$F$11&lt;&gt;"",'Your debts'!$F$10&lt;'Your debts'!$F$11),AB72,0)+IF(AND('Your debts'!$F$12&lt;&gt;"",'Your debts'!$F$11&lt;&gt;"",'Your debts'!$F$12&lt;'Your debts'!$F$11),AL72,0)+IF(AND('Your debts'!$F$13&lt;&gt;"",'Your debts'!$F$11&lt;&gt;"",'Your debts'!$F$13&lt;'Your debts'!$F$11),AQ72,0)+IF(AND('Your debts'!$F$14&lt;&gt;"",'Your debts'!$F$11&lt;&gt;"",'Your debts'!$F$14&lt;'Your debts'!$F$11),AV72,0)+IF(AND('Your debts'!$F$15&lt;&gt;"",'Your debts'!$F$11&lt;&gt;"",'Your debts'!$F$15&lt;'Your debts'!$F$11),BA72,0)))))</f>
        <v/>
      </c>
      <c r="AI72" s="33">
        <f>AG72-AH72</f>
        <v/>
      </c>
      <c r="AJ72" s="33">
        <f>IF(AN71&lt;=0,0,ROUND(AN71*(1+'Your debts'!$D$12/1200),2))</f>
        <v/>
      </c>
      <c r="AK72" s="33">
        <f>IF(AJ72&lt;=0,0,MIN('Your debts'!$E$12,AJ72))</f>
        <v/>
      </c>
      <c r="AL72" s="33">
        <f>AJ72-AK72</f>
        <v/>
      </c>
      <c r="AM72" s="33">
        <f>IF('Your debts'!$F$12="",0,MIN(AL72,MAX(0,MAX(0,'Your debts'!$C$19-(G72+L72+Q72+V72+AA72+AF72+AK72+AP72+AU72+AZ72))-(IF(AND('Your debts'!$F$6&lt;&gt;"",'Your debts'!$F$12&lt;&gt;"",'Your debts'!$F$6&lt;'Your debts'!$F$12),H72,0)+IF(AND('Your debts'!$F$7&lt;&gt;"",'Your debts'!$F$12&lt;&gt;"",'Your debts'!$F$7&lt;'Your debts'!$F$12),M72,0)+IF(AND('Your debts'!$F$8&lt;&gt;"",'Your debts'!$F$12&lt;&gt;"",'Your debts'!$F$8&lt;'Your debts'!$F$12),R72,0)+IF(AND('Your debts'!$F$9&lt;&gt;"",'Your debts'!$F$12&lt;&gt;"",'Your debts'!$F$9&lt;'Your debts'!$F$12),W72,0)+IF(AND('Your debts'!$F$10&lt;&gt;"",'Your debts'!$F$12&lt;&gt;"",'Your debts'!$F$10&lt;'Your debts'!$F$12),AB72,0)+IF(AND('Your debts'!$F$11&lt;&gt;"",'Your debts'!$F$12&lt;&gt;"",'Your debts'!$F$11&lt;'Your debts'!$F$12),AG72,0)+IF(AND('Your debts'!$F$13&lt;&gt;"",'Your debts'!$F$12&lt;&gt;"",'Your debts'!$F$13&lt;'Your debts'!$F$12),AQ72,0)+IF(AND('Your debts'!$F$14&lt;&gt;"",'Your debts'!$F$12&lt;&gt;"",'Your debts'!$F$14&lt;'Your debts'!$F$12),AV72,0)+IF(AND('Your debts'!$F$15&lt;&gt;"",'Your debts'!$F$12&lt;&gt;"",'Your debts'!$F$15&lt;'Your debts'!$F$12),BA72,0)))))</f>
        <v/>
      </c>
      <c r="AN72" s="33">
        <f>AL72-AM72</f>
        <v/>
      </c>
      <c r="AO72" s="33">
        <f>IF(AS71&lt;=0,0,ROUND(AS71*(1+'Your debts'!$D$13/1200),2))</f>
        <v/>
      </c>
      <c r="AP72" s="33">
        <f>IF(AO72&lt;=0,0,MIN('Your debts'!$E$13,AO72))</f>
        <v/>
      </c>
      <c r="AQ72" s="33">
        <f>AO72-AP72</f>
        <v/>
      </c>
      <c r="AR72" s="33">
        <f>IF('Your debts'!$F$13="",0,MIN(AQ72,MAX(0,MAX(0,'Your debts'!$C$19-(G72+L72+Q72+V72+AA72+AF72+AK72+AP72+AU72+AZ72))-(IF(AND('Your debts'!$F$6&lt;&gt;"",'Your debts'!$F$13&lt;&gt;"",'Your debts'!$F$6&lt;'Your debts'!$F$13),H72,0)+IF(AND('Your debts'!$F$7&lt;&gt;"",'Your debts'!$F$13&lt;&gt;"",'Your debts'!$F$7&lt;'Your debts'!$F$13),M72,0)+IF(AND('Your debts'!$F$8&lt;&gt;"",'Your debts'!$F$13&lt;&gt;"",'Your debts'!$F$8&lt;'Your debts'!$F$13),R72,0)+IF(AND('Your debts'!$F$9&lt;&gt;"",'Your debts'!$F$13&lt;&gt;"",'Your debts'!$F$9&lt;'Your debts'!$F$13),W72,0)+IF(AND('Your debts'!$F$10&lt;&gt;"",'Your debts'!$F$13&lt;&gt;"",'Your debts'!$F$10&lt;'Your debts'!$F$13),AB72,0)+IF(AND('Your debts'!$F$11&lt;&gt;"",'Your debts'!$F$13&lt;&gt;"",'Your debts'!$F$11&lt;'Your debts'!$F$13),AG72,0)+IF(AND('Your debts'!$F$12&lt;&gt;"",'Your debts'!$F$13&lt;&gt;"",'Your debts'!$F$12&lt;'Your debts'!$F$13),AL72,0)+IF(AND('Your debts'!$F$14&lt;&gt;"",'Your debts'!$F$13&lt;&gt;"",'Your debts'!$F$14&lt;'Your debts'!$F$13),AV72,0)+IF(AND('Your debts'!$F$15&lt;&gt;"",'Your debts'!$F$13&lt;&gt;"",'Your debts'!$F$15&lt;'Your debts'!$F$13),BA72,0)))))</f>
        <v/>
      </c>
      <c r="AS72" s="33">
        <f>AQ72-AR72</f>
        <v/>
      </c>
      <c r="AT72" s="33">
        <f>IF(AX71&lt;=0,0,ROUND(AX71*(1+'Your debts'!$D$14/1200),2))</f>
        <v/>
      </c>
      <c r="AU72" s="33">
        <f>IF(AT72&lt;=0,0,MIN('Your debts'!$E$14,AT72))</f>
        <v/>
      </c>
      <c r="AV72" s="33">
        <f>AT72-AU72</f>
        <v/>
      </c>
      <c r="AW72" s="33">
        <f>IF('Your debts'!$F$14="",0,MIN(AV72,MAX(0,MAX(0,'Your debts'!$C$19-(G72+L72+Q72+V72+AA72+AF72+AK72+AP72+AU72+AZ72))-(IF(AND('Your debts'!$F$6&lt;&gt;"",'Your debts'!$F$14&lt;&gt;"",'Your debts'!$F$6&lt;'Your debts'!$F$14),H72,0)+IF(AND('Your debts'!$F$7&lt;&gt;"",'Your debts'!$F$14&lt;&gt;"",'Your debts'!$F$7&lt;'Your debts'!$F$14),M72,0)+IF(AND('Your debts'!$F$8&lt;&gt;"",'Your debts'!$F$14&lt;&gt;"",'Your debts'!$F$8&lt;'Your debts'!$F$14),R72,0)+IF(AND('Your debts'!$F$9&lt;&gt;"",'Your debts'!$F$14&lt;&gt;"",'Your debts'!$F$9&lt;'Your debts'!$F$14),W72,0)+IF(AND('Your debts'!$F$10&lt;&gt;"",'Your debts'!$F$14&lt;&gt;"",'Your debts'!$F$10&lt;'Your debts'!$F$14),AB72,0)+IF(AND('Your debts'!$F$11&lt;&gt;"",'Your debts'!$F$14&lt;&gt;"",'Your debts'!$F$11&lt;'Your debts'!$F$14),AG72,0)+IF(AND('Your debts'!$F$12&lt;&gt;"",'Your debts'!$F$14&lt;&gt;"",'Your debts'!$F$12&lt;'Your debts'!$F$14),AL72,0)+IF(AND('Your debts'!$F$13&lt;&gt;"",'Your debts'!$F$14&lt;&gt;"",'Your debts'!$F$13&lt;'Your debts'!$F$14),AQ72,0)+IF(AND('Your debts'!$F$15&lt;&gt;"",'Your debts'!$F$14&lt;&gt;"",'Your debts'!$F$15&lt;'Your debts'!$F$14),BA72,0)))))</f>
        <v/>
      </c>
      <c r="AX72" s="33">
        <f>AV72-AW72</f>
        <v/>
      </c>
      <c r="AY72" s="33">
        <f>IF(BC71&lt;=0,0,ROUND(BC71*(1+'Your debts'!$D$15/1200),2))</f>
        <v/>
      </c>
      <c r="AZ72" s="33">
        <f>IF(AY72&lt;=0,0,MIN('Your debts'!$E$15,AY72))</f>
        <v/>
      </c>
      <c r="BA72" s="33">
        <f>AY72-AZ72</f>
        <v/>
      </c>
      <c r="BB72" s="33">
        <f>IF('Your debts'!$F$15="",0,MIN(BA72,MAX(0,MAX(0,'Your debts'!$C$19-(G72+L72+Q72+V72+AA72+AF72+AK72+AP72+AU72+AZ72))-(IF(AND('Your debts'!$F$6&lt;&gt;"",'Your debts'!$F$15&lt;&gt;"",'Your debts'!$F$6&lt;'Your debts'!$F$15),H72,0)+IF(AND('Your debts'!$F$7&lt;&gt;"",'Your debts'!$F$15&lt;&gt;"",'Your debts'!$F$7&lt;'Your debts'!$F$15),M72,0)+IF(AND('Your debts'!$F$8&lt;&gt;"",'Your debts'!$F$15&lt;&gt;"",'Your debts'!$F$8&lt;'Your debts'!$F$15),R72,0)+IF(AND('Your debts'!$F$9&lt;&gt;"",'Your debts'!$F$15&lt;&gt;"",'Your debts'!$F$9&lt;'Your debts'!$F$15),W72,0)+IF(AND('Your debts'!$F$10&lt;&gt;"",'Your debts'!$F$15&lt;&gt;"",'Your debts'!$F$10&lt;'Your debts'!$F$15),AB72,0)+IF(AND('Your debts'!$F$11&lt;&gt;"",'Your debts'!$F$15&lt;&gt;"",'Your debts'!$F$11&lt;'Your debts'!$F$15),AG72,0)+IF(AND('Your debts'!$F$12&lt;&gt;"",'Your debts'!$F$15&lt;&gt;"",'Your debts'!$F$12&lt;'Your debts'!$F$15),AL72,0)+IF(AND('Your debts'!$F$13&lt;&gt;"",'Your debts'!$F$15&lt;&gt;"",'Your debts'!$F$13&lt;'Your debts'!$F$15),AQ72,0)+IF(AND('Your debts'!$F$14&lt;&gt;"",'Your debts'!$F$15&lt;&gt;"",'Your debts'!$F$14&lt;'Your debts'!$F$15),AV72,0)))))</f>
        <v/>
      </c>
      <c r="BC72" s="33">
        <f>BA72-BB72</f>
        <v/>
      </c>
    </row>
    <row r="73">
      <c r="A73" s="30" t="n">
        <v>58</v>
      </c>
      <c r="B73" s="31">
        <f>EDATE($B$15,58)</f>
        <v/>
      </c>
      <c r="C73" s="32">
        <f>IF(J72&lt;=0,0,F73-J72)+IF(O72&lt;=0,0,K73-O72)+IF(T72&lt;=0,0,P73-T72)+IF(Y72&lt;=0,0,U73-Y72)+IF(AD72&lt;=0,0,Z73-AD72)+IF(AI72&lt;=0,0,AE73-AI72)+IF(AN72&lt;=0,0,AJ73-AN72)+IF(AS72&lt;=0,0,AO73-AS72)+IF(AX72&lt;=0,0,AT73-AX72)+IF(BC72&lt;=0,0,AY73-BC72)</f>
        <v/>
      </c>
      <c r="D73" s="32">
        <f>G73+I73+L73+N73+Q73+S73+V73+X73+AA73+AC73+AF73+AH73+AK73+AM73+AP73+AR73+AU73+AW73+AZ73+BB73</f>
        <v/>
      </c>
      <c r="E73" s="32">
        <f>J73+O73+T73+Y73+AD73+AI73+AN73+AS73+AX73+BC73</f>
        <v/>
      </c>
      <c r="F73" s="33">
        <f>IF(J72&lt;=0,0,ROUND(J72*(1+'Your debts'!$D$6/1200),2))</f>
        <v/>
      </c>
      <c r="G73" s="33">
        <f>IF(F73&lt;=0,0,MIN('Your debts'!$E$6,F73))</f>
        <v/>
      </c>
      <c r="H73" s="33">
        <f>F73-G73</f>
        <v/>
      </c>
      <c r="I73" s="33">
        <f>IF('Your debts'!$F$6="",0,MIN(H73,MAX(0,MAX(0,'Your debts'!$C$19-(G73+L73+Q73+V73+AA73+AF73+AK73+AP73+AU73+AZ73))-(IF(AND('Your debts'!$F$7&lt;&gt;"",'Your debts'!$F$6&lt;&gt;"",'Your debts'!$F$7&lt;'Your debts'!$F$6),M73,0)+IF(AND('Your debts'!$F$8&lt;&gt;"",'Your debts'!$F$6&lt;&gt;"",'Your debts'!$F$8&lt;'Your debts'!$F$6),R73,0)+IF(AND('Your debts'!$F$9&lt;&gt;"",'Your debts'!$F$6&lt;&gt;"",'Your debts'!$F$9&lt;'Your debts'!$F$6),W73,0)+IF(AND('Your debts'!$F$10&lt;&gt;"",'Your debts'!$F$6&lt;&gt;"",'Your debts'!$F$10&lt;'Your debts'!$F$6),AB73,0)+IF(AND('Your debts'!$F$11&lt;&gt;"",'Your debts'!$F$6&lt;&gt;"",'Your debts'!$F$11&lt;'Your debts'!$F$6),AG73,0)+IF(AND('Your debts'!$F$12&lt;&gt;"",'Your debts'!$F$6&lt;&gt;"",'Your debts'!$F$12&lt;'Your debts'!$F$6),AL73,0)+IF(AND('Your debts'!$F$13&lt;&gt;"",'Your debts'!$F$6&lt;&gt;"",'Your debts'!$F$13&lt;'Your debts'!$F$6),AQ73,0)+IF(AND('Your debts'!$F$14&lt;&gt;"",'Your debts'!$F$6&lt;&gt;"",'Your debts'!$F$14&lt;'Your debts'!$F$6),AV73,0)+IF(AND('Your debts'!$F$15&lt;&gt;"",'Your debts'!$F$6&lt;&gt;"",'Your debts'!$F$15&lt;'Your debts'!$F$6),BA73,0)))))</f>
        <v/>
      </c>
      <c r="J73" s="33">
        <f>H73-I73</f>
        <v/>
      </c>
      <c r="K73" s="33">
        <f>IF(O72&lt;=0,0,ROUND(O72*(1+'Your debts'!$D$7/1200),2))</f>
        <v/>
      </c>
      <c r="L73" s="33">
        <f>IF(K73&lt;=0,0,MIN('Your debts'!$E$7,K73))</f>
        <v/>
      </c>
      <c r="M73" s="33">
        <f>K73-L73</f>
        <v/>
      </c>
      <c r="N73" s="33">
        <f>IF('Your debts'!$F$7="",0,MIN(M73,MAX(0,MAX(0,'Your debts'!$C$19-(G73+L73+Q73+V73+AA73+AF73+AK73+AP73+AU73+AZ73))-(IF(AND('Your debts'!$F$6&lt;&gt;"",'Your debts'!$F$7&lt;&gt;"",'Your debts'!$F$6&lt;'Your debts'!$F$7),H73,0)+IF(AND('Your debts'!$F$8&lt;&gt;"",'Your debts'!$F$7&lt;&gt;"",'Your debts'!$F$8&lt;'Your debts'!$F$7),R73,0)+IF(AND('Your debts'!$F$9&lt;&gt;"",'Your debts'!$F$7&lt;&gt;"",'Your debts'!$F$9&lt;'Your debts'!$F$7),W73,0)+IF(AND('Your debts'!$F$10&lt;&gt;"",'Your debts'!$F$7&lt;&gt;"",'Your debts'!$F$10&lt;'Your debts'!$F$7),AB73,0)+IF(AND('Your debts'!$F$11&lt;&gt;"",'Your debts'!$F$7&lt;&gt;"",'Your debts'!$F$11&lt;'Your debts'!$F$7),AG73,0)+IF(AND('Your debts'!$F$12&lt;&gt;"",'Your debts'!$F$7&lt;&gt;"",'Your debts'!$F$12&lt;'Your debts'!$F$7),AL73,0)+IF(AND('Your debts'!$F$13&lt;&gt;"",'Your debts'!$F$7&lt;&gt;"",'Your debts'!$F$13&lt;'Your debts'!$F$7),AQ73,0)+IF(AND('Your debts'!$F$14&lt;&gt;"",'Your debts'!$F$7&lt;&gt;"",'Your debts'!$F$14&lt;'Your debts'!$F$7),AV73,0)+IF(AND('Your debts'!$F$15&lt;&gt;"",'Your debts'!$F$7&lt;&gt;"",'Your debts'!$F$15&lt;'Your debts'!$F$7),BA73,0)))))</f>
        <v/>
      </c>
      <c r="O73" s="33">
        <f>M73-N73</f>
        <v/>
      </c>
      <c r="P73" s="33">
        <f>IF(T72&lt;=0,0,ROUND(T72*(1+'Your debts'!$D$8/1200),2))</f>
        <v/>
      </c>
      <c r="Q73" s="33">
        <f>IF(P73&lt;=0,0,MIN('Your debts'!$E$8,P73))</f>
        <v/>
      </c>
      <c r="R73" s="33">
        <f>P73-Q73</f>
        <v/>
      </c>
      <c r="S73" s="33">
        <f>IF('Your debts'!$F$8="",0,MIN(R73,MAX(0,MAX(0,'Your debts'!$C$19-(G73+L73+Q73+V73+AA73+AF73+AK73+AP73+AU73+AZ73))-(IF(AND('Your debts'!$F$6&lt;&gt;"",'Your debts'!$F$8&lt;&gt;"",'Your debts'!$F$6&lt;'Your debts'!$F$8),H73,0)+IF(AND('Your debts'!$F$7&lt;&gt;"",'Your debts'!$F$8&lt;&gt;"",'Your debts'!$F$7&lt;'Your debts'!$F$8),M73,0)+IF(AND('Your debts'!$F$9&lt;&gt;"",'Your debts'!$F$8&lt;&gt;"",'Your debts'!$F$9&lt;'Your debts'!$F$8),W73,0)+IF(AND('Your debts'!$F$10&lt;&gt;"",'Your debts'!$F$8&lt;&gt;"",'Your debts'!$F$10&lt;'Your debts'!$F$8),AB73,0)+IF(AND('Your debts'!$F$11&lt;&gt;"",'Your debts'!$F$8&lt;&gt;"",'Your debts'!$F$11&lt;'Your debts'!$F$8),AG73,0)+IF(AND('Your debts'!$F$12&lt;&gt;"",'Your debts'!$F$8&lt;&gt;"",'Your debts'!$F$12&lt;'Your debts'!$F$8),AL73,0)+IF(AND('Your debts'!$F$13&lt;&gt;"",'Your debts'!$F$8&lt;&gt;"",'Your debts'!$F$13&lt;'Your debts'!$F$8),AQ73,0)+IF(AND('Your debts'!$F$14&lt;&gt;"",'Your debts'!$F$8&lt;&gt;"",'Your debts'!$F$14&lt;'Your debts'!$F$8),AV73,0)+IF(AND('Your debts'!$F$15&lt;&gt;"",'Your debts'!$F$8&lt;&gt;"",'Your debts'!$F$15&lt;'Your debts'!$F$8),BA73,0)))))</f>
        <v/>
      </c>
      <c r="T73" s="33">
        <f>R73-S73</f>
        <v/>
      </c>
      <c r="U73" s="33">
        <f>IF(Y72&lt;=0,0,ROUND(Y72*(1+'Your debts'!$D$9/1200),2))</f>
        <v/>
      </c>
      <c r="V73" s="33">
        <f>IF(U73&lt;=0,0,MIN('Your debts'!$E$9,U73))</f>
        <v/>
      </c>
      <c r="W73" s="33">
        <f>U73-V73</f>
        <v/>
      </c>
      <c r="X73" s="33">
        <f>IF('Your debts'!$F$9="",0,MIN(W73,MAX(0,MAX(0,'Your debts'!$C$19-(G73+L73+Q73+V73+AA73+AF73+AK73+AP73+AU73+AZ73))-(IF(AND('Your debts'!$F$6&lt;&gt;"",'Your debts'!$F$9&lt;&gt;"",'Your debts'!$F$6&lt;'Your debts'!$F$9),H73,0)+IF(AND('Your debts'!$F$7&lt;&gt;"",'Your debts'!$F$9&lt;&gt;"",'Your debts'!$F$7&lt;'Your debts'!$F$9),M73,0)+IF(AND('Your debts'!$F$8&lt;&gt;"",'Your debts'!$F$9&lt;&gt;"",'Your debts'!$F$8&lt;'Your debts'!$F$9),R73,0)+IF(AND('Your debts'!$F$10&lt;&gt;"",'Your debts'!$F$9&lt;&gt;"",'Your debts'!$F$10&lt;'Your debts'!$F$9),AB73,0)+IF(AND('Your debts'!$F$11&lt;&gt;"",'Your debts'!$F$9&lt;&gt;"",'Your debts'!$F$11&lt;'Your debts'!$F$9),AG73,0)+IF(AND('Your debts'!$F$12&lt;&gt;"",'Your debts'!$F$9&lt;&gt;"",'Your debts'!$F$12&lt;'Your debts'!$F$9),AL73,0)+IF(AND('Your debts'!$F$13&lt;&gt;"",'Your debts'!$F$9&lt;&gt;"",'Your debts'!$F$13&lt;'Your debts'!$F$9),AQ73,0)+IF(AND('Your debts'!$F$14&lt;&gt;"",'Your debts'!$F$9&lt;&gt;"",'Your debts'!$F$14&lt;'Your debts'!$F$9),AV73,0)+IF(AND('Your debts'!$F$15&lt;&gt;"",'Your debts'!$F$9&lt;&gt;"",'Your debts'!$F$15&lt;'Your debts'!$F$9),BA73,0)))))</f>
        <v/>
      </c>
      <c r="Y73" s="33">
        <f>W73-X73</f>
        <v/>
      </c>
      <c r="Z73" s="33">
        <f>IF(AD72&lt;=0,0,ROUND(AD72*(1+'Your debts'!$D$10/1200),2))</f>
        <v/>
      </c>
      <c r="AA73" s="33">
        <f>IF(Z73&lt;=0,0,MIN('Your debts'!$E$10,Z73))</f>
        <v/>
      </c>
      <c r="AB73" s="33">
        <f>Z73-AA73</f>
        <v/>
      </c>
      <c r="AC73" s="33">
        <f>IF('Your debts'!$F$10="",0,MIN(AB73,MAX(0,MAX(0,'Your debts'!$C$19-(G73+L73+Q73+V73+AA73+AF73+AK73+AP73+AU73+AZ73))-(IF(AND('Your debts'!$F$6&lt;&gt;"",'Your debts'!$F$10&lt;&gt;"",'Your debts'!$F$6&lt;'Your debts'!$F$10),H73,0)+IF(AND('Your debts'!$F$7&lt;&gt;"",'Your debts'!$F$10&lt;&gt;"",'Your debts'!$F$7&lt;'Your debts'!$F$10),M73,0)+IF(AND('Your debts'!$F$8&lt;&gt;"",'Your debts'!$F$10&lt;&gt;"",'Your debts'!$F$8&lt;'Your debts'!$F$10),R73,0)+IF(AND('Your debts'!$F$9&lt;&gt;"",'Your debts'!$F$10&lt;&gt;"",'Your debts'!$F$9&lt;'Your debts'!$F$10),W73,0)+IF(AND('Your debts'!$F$11&lt;&gt;"",'Your debts'!$F$10&lt;&gt;"",'Your debts'!$F$11&lt;'Your debts'!$F$10),AG73,0)+IF(AND('Your debts'!$F$12&lt;&gt;"",'Your debts'!$F$10&lt;&gt;"",'Your debts'!$F$12&lt;'Your debts'!$F$10),AL73,0)+IF(AND('Your debts'!$F$13&lt;&gt;"",'Your debts'!$F$10&lt;&gt;"",'Your debts'!$F$13&lt;'Your debts'!$F$10),AQ73,0)+IF(AND('Your debts'!$F$14&lt;&gt;"",'Your debts'!$F$10&lt;&gt;"",'Your debts'!$F$14&lt;'Your debts'!$F$10),AV73,0)+IF(AND('Your debts'!$F$15&lt;&gt;"",'Your debts'!$F$10&lt;&gt;"",'Your debts'!$F$15&lt;'Your debts'!$F$10),BA73,0)))))</f>
        <v/>
      </c>
      <c r="AD73" s="33">
        <f>AB73-AC73</f>
        <v/>
      </c>
      <c r="AE73" s="33">
        <f>IF(AI72&lt;=0,0,ROUND(AI72*(1+'Your debts'!$D$11/1200),2))</f>
        <v/>
      </c>
      <c r="AF73" s="33">
        <f>IF(AE73&lt;=0,0,MIN('Your debts'!$E$11,AE73))</f>
        <v/>
      </c>
      <c r="AG73" s="33">
        <f>AE73-AF73</f>
        <v/>
      </c>
      <c r="AH73" s="33">
        <f>IF('Your debts'!$F$11="",0,MIN(AG73,MAX(0,MAX(0,'Your debts'!$C$19-(G73+L73+Q73+V73+AA73+AF73+AK73+AP73+AU73+AZ73))-(IF(AND('Your debts'!$F$6&lt;&gt;"",'Your debts'!$F$11&lt;&gt;"",'Your debts'!$F$6&lt;'Your debts'!$F$11),H73,0)+IF(AND('Your debts'!$F$7&lt;&gt;"",'Your debts'!$F$11&lt;&gt;"",'Your debts'!$F$7&lt;'Your debts'!$F$11),M73,0)+IF(AND('Your debts'!$F$8&lt;&gt;"",'Your debts'!$F$11&lt;&gt;"",'Your debts'!$F$8&lt;'Your debts'!$F$11),R73,0)+IF(AND('Your debts'!$F$9&lt;&gt;"",'Your debts'!$F$11&lt;&gt;"",'Your debts'!$F$9&lt;'Your debts'!$F$11),W73,0)+IF(AND('Your debts'!$F$10&lt;&gt;"",'Your debts'!$F$11&lt;&gt;"",'Your debts'!$F$10&lt;'Your debts'!$F$11),AB73,0)+IF(AND('Your debts'!$F$12&lt;&gt;"",'Your debts'!$F$11&lt;&gt;"",'Your debts'!$F$12&lt;'Your debts'!$F$11),AL73,0)+IF(AND('Your debts'!$F$13&lt;&gt;"",'Your debts'!$F$11&lt;&gt;"",'Your debts'!$F$13&lt;'Your debts'!$F$11),AQ73,0)+IF(AND('Your debts'!$F$14&lt;&gt;"",'Your debts'!$F$11&lt;&gt;"",'Your debts'!$F$14&lt;'Your debts'!$F$11),AV73,0)+IF(AND('Your debts'!$F$15&lt;&gt;"",'Your debts'!$F$11&lt;&gt;"",'Your debts'!$F$15&lt;'Your debts'!$F$11),BA73,0)))))</f>
        <v/>
      </c>
      <c r="AI73" s="33">
        <f>AG73-AH73</f>
        <v/>
      </c>
      <c r="AJ73" s="33">
        <f>IF(AN72&lt;=0,0,ROUND(AN72*(1+'Your debts'!$D$12/1200),2))</f>
        <v/>
      </c>
      <c r="AK73" s="33">
        <f>IF(AJ73&lt;=0,0,MIN('Your debts'!$E$12,AJ73))</f>
        <v/>
      </c>
      <c r="AL73" s="33">
        <f>AJ73-AK73</f>
        <v/>
      </c>
      <c r="AM73" s="33">
        <f>IF('Your debts'!$F$12="",0,MIN(AL73,MAX(0,MAX(0,'Your debts'!$C$19-(G73+L73+Q73+V73+AA73+AF73+AK73+AP73+AU73+AZ73))-(IF(AND('Your debts'!$F$6&lt;&gt;"",'Your debts'!$F$12&lt;&gt;"",'Your debts'!$F$6&lt;'Your debts'!$F$12),H73,0)+IF(AND('Your debts'!$F$7&lt;&gt;"",'Your debts'!$F$12&lt;&gt;"",'Your debts'!$F$7&lt;'Your debts'!$F$12),M73,0)+IF(AND('Your debts'!$F$8&lt;&gt;"",'Your debts'!$F$12&lt;&gt;"",'Your debts'!$F$8&lt;'Your debts'!$F$12),R73,0)+IF(AND('Your debts'!$F$9&lt;&gt;"",'Your debts'!$F$12&lt;&gt;"",'Your debts'!$F$9&lt;'Your debts'!$F$12),W73,0)+IF(AND('Your debts'!$F$10&lt;&gt;"",'Your debts'!$F$12&lt;&gt;"",'Your debts'!$F$10&lt;'Your debts'!$F$12),AB73,0)+IF(AND('Your debts'!$F$11&lt;&gt;"",'Your debts'!$F$12&lt;&gt;"",'Your debts'!$F$11&lt;'Your debts'!$F$12),AG73,0)+IF(AND('Your debts'!$F$13&lt;&gt;"",'Your debts'!$F$12&lt;&gt;"",'Your debts'!$F$13&lt;'Your debts'!$F$12),AQ73,0)+IF(AND('Your debts'!$F$14&lt;&gt;"",'Your debts'!$F$12&lt;&gt;"",'Your debts'!$F$14&lt;'Your debts'!$F$12),AV73,0)+IF(AND('Your debts'!$F$15&lt;&gt;"",'Your debts'!$F$12&lt;&gt;"",'Your debts'!$F$15&lt;'Your debts'!$F$12),BA73,0)))))</f>
        <v/>
      </c>
      <c r="AN73" s="33">
        <f>AL73-AM73</f>
        <v/>
      </c>
      <c r="AO73" s="33">
        <f>IF(AS72&lt;=0,0,ROUND(AS72*(1+'Your debts'!$D$13/1200),2))</f>
        <v/>
      </c>
      <c r="AP73" s="33">
        <f>IF(AO73&lt;=0,0,MIN('Your debts'!$E$13,AO73))</f>
        <v/>
      </c>
      <c r="AQ73" s="33">
        <f>AO73-AP73</f>
        <v/>
      </c>
      <c r="AR73" s="33">
        <f>IF('Your debts'!$F$13="",0,MIN(AQ73,MAX(0,MAX(0,'Your debts'!$C$19-(G73+L73+Q73+V73+AA73+AF73+AK73+AP73+AU73+AZ73))-(IF(AND('Your debts'!$F$6&lt;&gt;"",'Your debts'!$F$13&lt;&gt;"",'Your debts'!$F$6&lt;'Your debts'!$F$13),H73,0)+IF(AND('Your debts'!$F$7&lt;&gt;"",'Your debts'!$F$13&lt;&gt;"",'Your debts'!$F$7&lt;'Your debts'!$F$13),M73,0)+IF(AND('Your debts'!$F$8&lt;&gt;"",'Your debts'!$F$13&lt;&gt;"",'Your debts'!$F$8&lt;'Your debts'!$F$13),R73,0)+IF(AND('Your debts'!$F$9&lt;&gt;"",'Your debts'!$F$13&lt;&gt;"",'Your debts'!$F$9&lt;'Your debts'!$F$13),W73,0)+IF(AND('Your debts'!$F$10&lt;&gt;"",'Your debts'!$F$13&lt;&gt;"",'Your debts'!$F$10&lt;'Your debts'!$F$13),AB73,0)+IF(AND('Your debts'!$F$11&lt;&gt;"",'Your debts'!$F$13&lt;&gt;"",'Your debts'!$F$11&lt;'Your debts'!$F$13),AG73,0)+IF(AND('Your debts'!$F$12&lt;&gt;"",'Your debts'!$F$13&lt;&gt;"",'Your debts'!$F$12&lt;'Your debts'!$F$13),AL73,0)+IF(AND('Your debts'!$F$14&lt;&gt;"",'Your debts'!$F$13&lt;&gt;"",'Your debts'!$F$14&lt;'Your debts'!$F$13),AV73,0)+IF(AND('Your debts'!$F$15&lt;&gt;"",'Your debts'!$F$13&lt;&gt;"",'Your debts'!$F$15&lt;'Your debts'!$F$13),BA73,0)))))</f>
        <v/>
      </c>
      <c r="AS73" s="33">
        <f>AQ73-AR73</f>
        <v/>
      </c>
      <c r="AT73" s="33">
        <f>IF(AX72&lt;=0,0,ROUND(AX72*(1+'Your debts'!$D$14/1200),2))</f>
        <v/>
      </c>
      <c r="AU73" s="33">
        <f>IF(AT73&lt;=0,0,MIN('Your debts'!$E$14,AT73))</f>
        <v/>
      </c>
      <c r="AV73" s="33">
        <f>AT73-AU73</f>
        <v/>
      </c>
      <c r="AW73" s="33">
        <f>IF('Your debts'!$F$14="",0,MIN(AV73,MAX(0,MAX(0,'Your debts'!$C$19-(G73+L73+Q73+V73+AA73+AF73+AK73+AP73+AU73+AZ73))-(IF(AND('Your debts'!$F$6&lt;&gt;"",'Your debts'!$F$14&lt;&gt;"",'Your debts'!$F$6&lt;'Your debts'!$F$14),H73,0)+IF(AND('Your debts'!$F$7&lt;&gt;"",'Your debts'!$F$14&lt;&gt;"",'Your debts'!$F$7&lt;'Your debts'!$F$14),M73,0)+IF(AND('Your debts'!$F$8&lt;&gt;"",'Your debts'!$F$14&lt;&gt;"",'Your debts'!$F$8&lt;'Your debts'!$F$14),R73,0)+IF(AND('Your debts'!$F$9&lt;&gt;"",'Your debts'!$F$14&lt;&gt;"",'Your debts'!$F$9&lt;'Your debts'!$F$14),W73,0)+IF(AND('Your debts'!$F$10&lt;&gt;"",'Your debts'!$F$14&lt;&gt;"",'Your debts'!$F$10&lt;'Your debts'!$F$14),AB73,0)+IF(AND('Your debts'!$F$11&lt;&gt;"",'Your debts'!$F$14&lt;&gt;"",'Your debts'!$F$11&lt;'Your debts'!$F$14),AG73,0)+IF(AND('Your debts'!$F$12&lt;&gt;"",'Your debts'!$F$14&lt;&gt;"",'Your debts'!$F$12&lt;'Your debts'!$F$14),AL73,0)+IF(AND('Your debts'!$F$13&lt;&gt;"",'Your debts'!$F$14&lt;&gt;"",'Your debts'!$F$13&lt;'Your debts'!$F$14),AQ73,0)+IF(AND('Your debts'!$F$15&lt;&gt;"",'Your debts'!$F$14&lt;&gt;"",'Your debts'!$F$15&lt;'Your debts'!$F$14),BA73,0)))))</f>
        <v/>
      </c>
      <c r="AX73" s="33">
        <f>AV73-AW73</f>
        <v/>
      </c>
      <c r="AY73" s="33">
        <f>IF(BC72&lt;=0,0,ROUND(BC72*(1+'Your debts'!$D$15/1200),2))</f>
        <v/>
      </c>
      <c r="AZ73" s="33">
        <f>IF(AY73&lt;=0,0,MIN('Your debts'!$E$15,AY73))</f>
        <v/>
      </c>
      <c r="BA73" s="33">
        <f>AY73-AZ73</f>
        <v/>
      </c>
      <c r="BB73" s="33">
        <f>IF('Your debts'!$F$15="",0,MIN(BA73,MAX(0,MAX(0,'Your debts'!$C$19-(G73+L73+Q73+V73+AA73+AF73+AK73+AP73+AU73+AZ73))-(IF(AND('Your debts'!$F$6&lt;&gt;"",'Your debts'!$F$15&lt;&gt;"",'Your debts'!$F$6&lt;'Your debts'!$F$15),H73,0)+IF(AND('Your debts'!$F$7&lt;&gt;"",'Your debts'!$F$15&lt;&gt;"",'Your debts'!$F$7&lt;'Your debts'!$F$15),M73,0)+IF(AND('Your debts'!$F$8&lt;&gt;"",'Your debts'!$F$15&lt;&gt;"",'Your debts'!$F$8&lt;'Your debts'!$F$15),R73,0)+IF(AND('Your debts'!$F$9&lt;&gt;"",'Your debts'!$F$15&lt;&gt;"",'Your debts'!$F$9&lt;'Your debts'!$F$15),W73,0)+IF(AND('Your debts'!$F$10&lt;&gt;"",'Your debts'!$F$15&lt;&gt;"",'Your debts'!$F$10&lt;'Your debts'!$F$15),AB73,0)+IF(AND('Your debts'!$F$11&lt;&gt;"",'Your debts'!$F$15&lt;&gt;"",'Your debts'!$F$11&lt;'Your debts'!$F$15),AG73,0)+IF(AND('Your debts'!$F$12&lt;&gt;"",'Your debts'!$F$15&lt;&gt;"",'Your debts'!$F$12&lt;'Your debts'!$F$15),AL73,0)+IF(AND('Your debts'!$F$13&lt;&gt;"",'Your debts'!$F$15&lt;&gt;"",'Your debts'!$F$13&lt;'Your debts'!$F$15),AQ73,0)+IF(AND('Your debts'!$F$14&lt;&gt;"",'Your debts'!$F$15&lt;&gt;"",'Your debts'!$F$14&lt;'Your debts'!$F$15),AV73,0)))))</f>
        <v/>
      </c>
      <c r="BC73" s="33">
        <f>BA73-BB73</f>
        <v/>
      </c>
    </row>
    <row r="74">
      <c r="A74" s="30" t="n">
        <v>59</v>
      </c>
      <c r="B74" s="31">
        <f>EDATE($B$15,59)</f>
        <v/>
      </c>
      <c r="C74" s="32">
        <f>IF(J73&lt;=0,0,F74-J73)+IF(O73&lt;=0,0,K74-O73)+IF(T73&lt;=0,0,P74-T73)+IF(Y73&lt;=0,0,U74-Y73)+IF(AD73&lt;=0,0,Z74-AD73)+IF(AI73&lt;=0,0,AE74-AI73)+IF(AN73&lt;=0,0,AJ74-AN73)+IF(AS73&lt;=0,0,AO74-AS73)+IF(AX73&lt;=0,0,AT74-AX73)+IF(BC73&lt;=0,0,AY74-BC73)</f>
        <v/>
      </c>
      <c r="D74" s="32">
        <f>G74+I74+L74+N74+Q74+S74+V74+X74+AA74+AC74+AF74+AH74+AK74+AM74+AP74+AR74+AU74+AW74+AZ74+BB74</f>
        <v/>
      </c>
      <c r="E74" s="32">
        <f>J74+O74+T74+Y74+AD74+AI74+AN74+AS74+AX74+BC74</f>
        <v/>
      </c>
      <c r="F74" s="33">
        <f>IF(J73&lt;=0,0,ROUND(J73*(1+'Your debts'!$D$6/1200),2))</f>
        <v/>
      </c>
      <c r="G74" s="33">
        <f>IF(F74&lt;=0,0,MIN('Your debts'!$E$6,F74))</f>
        <v/>
      </c>
      <c r="H74" s="33">
        <f>F74-G74</f>
        <v/>
      </c>
      <c r="I74" s="33">
        <f>IF('Your debts'!$F$6="",0,MIN(H74,MAX(0,MAX(0,'Your debts'!$C$19-(G74+L74+Q74+V74+AA74+AF74+AK74+AP74+AU74+AZ74))-(IF(AND('Your debts'!$F$7&lt;&gt;"",'Your debts'!$F$6&lt;&gt;"",'Your debts'!$F$7&lt;'Your debts'!$F$6),M74,0)+IF(AND('Your debts'!$F$8&lt;&gt;"",'Your debts'!$F$6&lt;&gt;"",'Your debts'!$F$8&lt;'Your debts'!$F$6),R74,0)+IF(AND('Your debts'!$F$9&lt;&gt;"",'Your debts'!$F$6&lt;&gt;"",'Your debts'!$F$9&lt;'Your debts'!$F$6),W74,0)+IF(AND('Your debts'!$F$10&lt;&gt;"",'Your debts'!$F$6&lt;&gt;"",'Your debts'!$F$10&lt;'Your debts'!$F$6),AB74,0)+IF(AND('Your debts'!$F$11&lt;&gt;"",'Your debts'!$F$6&lt;&gt;"",'Your debts'!$F$11&lt;'Your debts'!$F$6),AG74,0)+IF(AND('Your debts'!$F$12&lt;&gt;"",'Your debts'!$F$6&lt;&gt;"",'Your debts'!$F$12&lt;'Your debts'!$F$6),AL74,0)+IF(AND('Your debts'!$F$13&lt;&gt;"",'Your debts'!$F$6&lt;&gt;"",'Your debts'!$F$13&lt;'Your debts'!$F$6),AQ74,0)+IF(AND('Your debts'!$F$14&lt;&gt;"",'Your debts'!$F$6&lt;&gt;"",'Your debts'!$F$14&lt;'Your debts'!$F$6),AV74,0)+IF(AND('Your debts'!$F$15&lt;&gt;"",'Your debts'!$F$6&lt;&gt;"",'Your debts'!$F$15&lt;'Your debts'!$F$6),BA74,0)))))</f>
        <v/>
      </c>
      <c r="J74" s="33">
        <f>H74-I74</f>
        <v/>
      </c>
      <c r="K74" s="33">
        <f>IF(O73&lt;=0,0,ROUND(O73*(1+'Your debts'!$D$7/1200),2))</f>
        <v/>
      </c>
      <c r="L74" s="33">
        <f>IF(K74&lt;=0,0,MIN('Your debts'!$E$7,K74))</f>
        <v/>
      </c>
      <c r="M74" s="33">
        <f>K74-L74</f>
        <v/>
      </c>
      <c r="N74" s="33">
        <f>IF('Your debts'!$F$7="",0,MIN(M74,MAX(0,MAX(0,'Your debts'!$C$19-(G74+L74+Q74+V74+AA74+AF74+AK74+AP74+AU74+AZ74))-(IF(AND('Your debts'!$F$6&lt;&gt;"",'Your debts'!$F$7&lt;&gt;"",'Your debts'!$F$6&lt;'Your debts'!$F$7),H74,0)+IF(AND('Your debts'!$F$8&lt;&gt;"",'Your debts'!$F$7&lt;&gt;"",'Your debts'!$F$8&lt;'Your debts'!$F$7),R74,0)+IF(AND('Your debts'!$F$9&lt;&gt;"",'Your debts'!$F$7&lt;&gt;"",'Your debts'!$F$9&lt;'Your debts'!$F$7),W74,0)+IF(AND('Your debts'!$F$10&lt;&gt;"",'Your debts'!$F$7&lt;&gt;"",'Your debts'!$F$10&lt;'Your debts'!$F$7),AB74,0)+IF(AND('Your debts'!$F$11&lt;&gt;"",'Your debts'!$F$7&lt;&gt;"",'Your debts'!$F$11&lt;'Your debts'!$F$7),AG74,0)+IF(AND('Your debts'!$F$12&lt;&gt;"",'Your debts'!$F$7&lt;&gt;"",'Your debts'!$F$12&lt;'Your debts'!$F$7),AL74,0)+IF(AND('Your debts'!$F$13&lt;&gt;"",'Your debts'!$F$7&lt;&gt;"",'Your debts'!$F$13&lt;'Your debts'!$F$7),AQ74,0)+IF(AND('Your debts'!$F$14&lt;&gt;"",'Your debts'!$F$7&lt;&gt;"",'Your debts'!$F$14&lt;'Your debts'!$F$7),AV74,0)+IF(AND('Your debts'!$F$15&lt;&gt;"",'Your debts'!$F$7&lt;&gt;"",'Your debts'!$F$15&lt;'Your debts'!$F$7),BA74,0)))))</f>
        <v/>
      </c>
      <c r="O74" s="33">
        <f>M74-N74</f>
        <v/>
      </c>
      <c r="P74" s="33">
        <f>IF(T73&lt;=0,0,ROUND(T73*(1+'Your debts'!$D$8/1200),2))</f>
        <v/>
      </c>
      <c r="Q74" s="33">
        <f>IF(P74&lt;=0,0,MIN('Your debts'!$E$8,P74))</f>
        <v/>
      </c>
      <c r="R74" s="33">
        <f>P74-Q74</f>
        <v/>
      </c>
      <c r="S74" s="33">
        <f>IF('Your debts'!$F$8="",0,MIN(R74,MAX(0,MAX(0,'Your debts'!$C$19-(G74+L74+Q74+V74+AA74+AF74+AK74+AP74+AU74+AZ74))-(IF(AND('Your debts'!$F$6&lt;&gt;"",'Your debts'!$F$8&lt;&gt;"",'Your debts'!$F$6&lt;'Your debts'!$F$8),H74,0)+IF(AND('Your debts'!$F$7&lt;&gt;"",'Your debts'!$F$8&lt;&gt;"",'Your debts'!$F$7&lt;'Your debts'!$F$8),M74,0)+IF(AND('Your debts'!$F$9&lt;&gt;"",'Your debts'!$F$8&lt;&gt;"",'Your debts'!$F$9&lt;'Your debts'!$F$8),W74,0)+IF(AND('Your debts'!$F$10&lt;&gt;"",'Your debts'!$F$8&lt;&gt;"",'Your debts'!$F$10&lt;'Your debts'!$F$8),AB74,0)+IF(AND('Your debts'!$F$11&lt;&gt;"",'Your debts'!$F$8&lt;&gt;"",'Your debts'!$F$11&lt;'Your debts'!$F$8),AG74,0)+IF(AND('Your debts'!$F$12&lt;&gt;"",'Your debts'!$F$8&lt;&gt;"",'Your debts'!$F$12&lt;'Your debts'!$F$8),AL74,0)+IF(AND('Your debts'!$F$13&lt;&gt;"",'Your debts'!$F$8&lt;&gt;"",'Your debts'!$F$13&lt;'Your debts'!$F$8),AQ74,0)+IF(AND('Your debts'!$F$14&lt;&gt;"",'Your debts'!$F$8&lt;&gt;"",'Your debts'!$F$14&lt;'Your debts'!$F$8),AV74,0)+IF(AND('Your debts'!$F$15&lt;&gt;"",'Your debts'!$F$8&lt;&gt;"",'Your debts'!$F$15&lt;'Your debts'!$F$8),BA74,0)))))</f>
        <v/>
      </c>
      <c r="T74" s="33">
        <f>R74-S74</f>
        <v/>
      </c>
      <c r="U74" s="33">
        <f>IF(Y73&lt;=0,0,ROUND(Y73*(1+'Your debts'!$D$9/1200),2))</f>
        <v/>
      </c>
      <c r="V74" s="33">
        <f>IF(U74&lt;=0,0,MIN('Your debts'!$E$9,U74))</f>
        <v/>
      </c>
      <c r="W74" s="33">
        <f>U74-V74</f>
        <v/>
      </c>
      <c r="X74" s="33">
        <f>IF('Your debts'!$F$9="",0,MIN(W74,MAX(0,MAX(0,'Your debts'!$C$19-(G74+L74+Q74+V74+AA74+AF74+AK74+AP74+AU74+AZ74))-(IF(AND('Your debts'!$F$6&lt;&gt;"",'Your debts'!$F$9&lt;&gt;"",'Your debts'!$F$6&lt;'Your debts'!$F$9),H74,0)+IF(AND('Your debts'!$F$7&lt;&gt;"",'Your debts'!$F$9&lt;&gt;"",'Your debts'!$F$7&lt;'Your debts'!$F$9),M74,0)+IF(AND('Your debts'!$F$8&lt;&gt;"",'Your debts'!$F$9&lt;&gt;"",'Your debts'!$F$8&lt;'Your debts'!$F$9),R74,0)+IF(AND('Your debts'!$F$10&lt;&gt;"",'Your debts'!$F$9&lt;&gt;"",'Your debts'!$F$10&lt;'Your debts'!$F$9),AB74,0)+IF(AND('Your debts'!$F$11&lt;&gt;"",'Your debts'!$F$9&lt;&gt;"",'Your debts'!$F$11&lt;'Your debts'!$F$9),AG74,0)+IF(AND('Your debts'!$F$12&lt;&gt;"",'Your debts'!$F$9&lt;&gt;"",'Your debts'!$F$12&lt;'Your debts'!$F$9),AL74,0)+IF(AND('Your debts'!$F$13&lt;&gt;"",'Your debts'!$F$9&lt;&gt;"",'Your debts'!$F$13&lt;'Your debts'!$F$9),AQ74,0)+IF(AND('Your debts'!$F$14&lt;&gt;"",'Your debts'!$F$9&lt;&gt;"",'Your debts'!$F$14&lt;'Your debts'!$F$9),AV74,0)+IF(AND('Your debts'!$F$15&lt;&gt;"",'Your debts'!$F$9&lt;&gt;"",'Your debts'!$F$15&lt;'Your debts'!$F$9),BA74,0)))))</f>
        <v/>
      </c>
      <c r="Y74" s="33">
        <f>W74-X74</f>
        <v/>
      </c>
      <c r="Z74" s="33">
        <f>IF(AD73&lt;=0,0,ROUND(AD73*(1+'Your debts'!$D$10/1200),2))</f>
        <v/>
      </c>
      <c r="AA74" s="33">
        <f>IF(Z74&lt;=0,0,MIN('Your debts'!$E$10,Z74))</f>
        <v/>
      </c>
      <c r="AB74" s="33">
        <f>Z74-AA74</f>
        <v/>
      </c>
      <c r="AC74" s="33">
        <f>IF('Your debts'!$F$10="",0,MIN(AB74,MAX(0,MAX(0,'Your debts'!$C$19-(G74+L74+Q74+V74+AA74+AF74+AK74+AP74+AU74+AZ74))-(IF(AND('Your debts'!$F$6&lt;&gt;"",'Your debts'!$F$10&lt;&gt;"",'Your debts'!$F$6&lt;'Your debts'!$F$10),H74,0)+IF(AND('Your debts'!$F$7&lt;&gt;"",'Your debts'!$F$10&lt;&gt;"",'Your debts'!$F$7&lt;'Your debts'!$F$10),M74,0)+IF(AND('Your debts'!$F$8&lt;&gt;"",'Your debts'!$F$10&lt;&gt;"",'Your debts'!$F$8&lt;'Your debts'!$F$10),R74,0)+IF(AND('Your debts'!$F$9&lt;&gt;"",'Your debts'!$F$10&lt;&gt;"",'Your debts'!$F$9&lt;'Your debts'!$F$10),W74,0)+IF(AND('Your debts'!$F$11&lt;&gt;"",'Your debts'!$F$10&lt;&gt;"",'Your debts'!$F$11&lt;'Your debts'!$F$10),AG74,0)+IF(AND('Your debts'!$F$12&lt;&gt;"",'Your debts'!$F$10&lt;&gt;"",'Your debts'!$F$12&lt;'Your debts'!$F$10),AL74,0)+IF(AND('Your debts'!$F$13&lt;&gt;"",'Your debts'!$F$10&lt;&gt;"",'Your debts'!$F$13&lt;'Your debts'!$F$10),AQ74,0)+IF(AND('Your debts'!$F$14&lt;&gt;"",'Your debts'!$F$10&lt;&gt;"",'Your debts'!$F$14&lt;'Your debts'!$F$10),AV74,0)+IF(AND('Your debts'!$F$15&lt;&gt;"",'Your debts'!$F$10&lt;&gt;"",'Your debts'!$F$15&lt;'Your debts'!$F$10),BA74,0)))))</f>
        <v/>
      </c>
      <c r="AD74" s="33">
        <f>AB74-AC74</f>
        <v/>
      </c>
      <c r="AE74" s="33">
        <f>IF(AI73&lt;=0,0,ROUND(AI73*(1+'Your debts'!$D$11/1200),2))</f>
        <v/>
      </c>
      <c r="AF74" s="33">
        <f>IF(AE74&lt;=0,0,MIN('Your debts'!$E$11,AE74))</f>
        <v/>
      </c>
      <c r="AG74" s="33">
        <f>AE74-AF74</f>
        <v/>
      </c>
      <c r="AH74" s="33">
        <f>IF('Your debts'!$F$11="",0,MIN(AG74,MAX(0,MAX(0,'Your debts'!$C$19-(G74+L74+Q74+V74+AA74+AF74+AK74+AP74+AU74+AZ74))-(IF(AND('Your debts'!$F$6&lt;&gt;"",'Your debts'!$F$11&lt;&gt;"",'Your debts'!$F$6&lt;'Your debts'!$F$11),H74,0)+IF(AND('Your debts'!$F$7&lt;&gt;"",'Your debts'!$F$11&lt;&gt;"",'Your debts'!$F$7&lt;'Your debts'!$F$11),M74,0)+IF(AND('Your debts'!$F$8&lt;&gt;"",'Your debts'!$F$11&lt;&gt;"",'Your debts'!$F$8&lt;'Your debts'!$F$11),R74,0)+IF(AND('Your debts'!$F$9&lt;&gt;"",'Your debts'!$F$11&lt;&gt;"",'Your debts'!$F$9&lt;'Your debts'!$F$11),W74,0)+IF(AND('Your debts'!$F$10&lt;&gt;"",'Your debts'!$F$11&lt;&gt;"",'Your debts'!$F$10&lt;'Your debts'!$F$11),AB74,0)+IF(AND('Your debts'!$F$12&lt;&gt;"",'Your debts'!$F$11&lt;&gt;"",'Your debts'!$F$12&lt;'Your debts'!$F$11),AL74,0)+IF(AND('Your debts'!$F$13&lt;&gt;"",'Your debts'!$F$11&lt;&gt;"",'Your debts'!$F$13&lt;'Your debts'!$F$11),AQ74,0)+IF(AND('Your debts'!$F$14&lt;&gt;"",'Your debts'!$F$11&lt;&gt;"",'Your debts'!$F$14&lt;'Your debts'!$F$11),AV74,0)+IF(AND('Your debts'!$F$15&lt;&gt;"",'Your debts'!$F$11&lt;&gt;"",'Your debts'!$F$15&lt;'Your debts'!$F$11),BA74,0)))))</f>
        <v/>
      </c>
      <c r="AI74" s="33">
        <f>AG74-AH74</f>
        <v/>
      </c>
      <c r="AJ74" s="33">
        <f>IF(AN73&lt;=0,0,ROUND(AN73*(1+'Your debts'!$D$12/1200),2))</f>
        <v/>
      </c>
      <c r="AK74" s="33">
        <f>IF(AJ74&lt;=0,0,MIN('Your debts'!$E$12,AJ74))</f>
        <v/>
      </c>
      <c r="AL74" s="33">
        <f>AJ74-AK74</f>
        <v/>
      </c>
      <c r="AM74" s="33">
        <f>IF('Your debts'!$F$12="",0,MIN(AL74,MAX(0,MAX(0,'Your debts'!$C$19-(G74+L74+Q74+V74+AA74+AF74+AK74+AP74+AU74+AZ74))-(IF(AND('Your debts'!$F$6&lt;&gt;"",'Your debts'!$F$12&lt;&gt;"",'Your debts'!$F$6&lt;'Your debts'!$F$12),H74,0)+IF(AND('Your debts'!$F$7&lt;&gt;"",'Your debts'!$F$12&lt;&gt;"",'Your debts'!$F$7&lt;'Your debts'!$F$12),M74,0)+IF(AND('Your debts'!$F$8&lt;&gt;"",'Your debts'!$F$12&lt;&gt;"",'Your debts'!$F$8&lt;'Your debts'!$F$12),R74,0)+IF(AND('Your debts'!$F$9&lt;&gt;"",'Your debts'!$F$12&lt;&gt;"",'Your debts'!$F$9&lt;'Your debts'!$F$12),W74,0)+IF(AND('Your debts'!$F$10&lt;&gt;"",'Your debts'!$F$12&lt;&gt;"",'Your debts'!$F$10&lt;'Your debts'!$F$12),AB74,0)+IF(AND('Your debts'!$F$11&lt;&gt;"",'Your debts'!$F$12&lt;&gt;"",'Your debts'!$F$11&lt;'Your debts'!$F$12),AG74,0)+IF(AND('Your debts'!$F$13&lt;&gt;"",'Your debts'!$F$12&lt;&gt;"",'Your debts'!$F$13&lt;'Your debts'!$F$12),AQ74,0)+IF(AND('Your debts'!$F$14&lt;&gt;"",'Your debts'!$F$12&lt;&gt;"",'Your debts'!$F$14&lt;'Your debts'!$F$12),AV74,0)+IF(AND('Your debts'!$F$15&lt;&gt;"",'Your debts'!$F$12&lt;&gt;"",'Your debts'!$F$15&lt;'Your debts'!$F$12),BA74,0)))))</f>
        <v/>
      </c>
      <c r="AN74" s="33">
        <f>AL74-AM74</f>
        <v/>
      </c>
      <c r="AO74" s="33">
        <f>IF(AS73&lt;=0,0,ROUND(AS73*(1+'Your debts'!$D$13/1200),2))</f>
        <v/>
      </c>
      <c r="AP74" s="33">
        <f>IF(AO74&lt;=0,0,MIN('Your debts'!$E$13,AO74))</f>
        <v/>
      </c>
      <c r="AQ74" s="33">
        <f>AO74-AP74</f>
        <v/>
      </c>
      <c r="AR74" s="33">
        <f>IF('Your debts'!$F$13="",0,MIN(AQ74,MAX(0,MAX(0,'Your debts'!$C$19-(G74+L74+Q74+V74+AA74+AF74+AK74+AP74+AU74+AZ74))-(IF(AND('Your debts'!$F$6&lt;&gt;"",'Your debts'!$F$13&lt;&gt;"",'Your debts'!$F$6&lt;'Your debts'!$F$13),H74,0)+IF(AND('Your debts'!$F$7&lt;&gt;"",'Your debts'!$F$13&lt;&gt;"",'Your debts'!$F$7&lt;'Your debts'!$F$13),M74,0)+IF(AND('Your debts'!$F$8&lt;&gt;"",'Your debts'!$F$13&lt;&gt;"",'Your debts'!$F$8&lt;'Your debts'!$F$13),R74,0)+IF(AND('Your debts'!$F$9&lt;&gt;"",'Your debts'!$F$13&lt;&gt;"",'Your debts'!$F$9&lt;'Your debts'!$F$13),W74,0)+IF(AND('Your debts'!$F$10&lt;&gt;"",'Your debts'!$F$13&lt;&gt;"",'Your debts'!$F$10&lt;'Your debts'!$F$13),AB74,0)+IF(AND('Your debts'!$F$11&lt;&gt;"",'Your debts'!$F$13&lt;&gt;"",'Your debts'!$F$11&lt;'Your debts'!$F$13),AG74,0)+IF(AND('Your debts'!$F$12&lt;&gt;"",'Your debts'!$F$13&lt;&gt;"",'Your debts'!$F$12&lt;'Your debts'!$F$13),AL74,0)+IF(AND('Your debts'!$F$14&lt;&gt;"",'Your debts'!$F$13&lt;&gt;"",'Your debts'!$F$14&lt;'Your debts'!$F$13),AV74,0)+IF(AND('Your debts'!$F$15&lt;&gt;"",'Your debts'!$F$13&lt;&gt;"",'Your debts'!$F$15&lt;'Your debts'!$F$13),BA74,0)))))</f>
        <v/>
      </c>
      <c r="AS74" s="33">
        <f>AQ74-AR74</f>
        <v/>
      </c>
      <c r="AT74" s="33">
        <f>IF(AX73&lt;=0,0,ROUND(AX73*(1+'Your debts'!$D$14/1200),2))</f>
        <v/>
      </c>
      <c r="AU74" s="33">
        <f>IF(AT74&lt;=0,0,MIN('Your debts'!$E$14,AT74))</f>
        <v/>
      </c>
      <c r="AV74" s="33">
        <f>AT74-AU74</f>
        <v/>
      </c>
      <c r="AW74" s="33">
        <f>IF('Your debts'!$F$14="",0,MIN(AV74,MAX(0,MAX(0,'Your debts'!$C$19-(G74+L74+Q74+V74+AA74+AF74+AK74+AP74+AU74+AZ74))-(IF(AND('Your debts'!$F$6&lt;&gt;"",'Your debts'!$F$14&lt;&gt;"",'Your debts'!$F$6&lt;'Your debts'!$F$14),H74,0)+IF(AND('Your debts'!$F$7&lt;&gt;"",'Your debts'!$F$14&lt;&gt;"",'Your debts'!$F$7&lt;'Your debts'!$F$14),M74,0)+IF(AND('Your debts'!$F$8&lt;&gt;"",'Your debts'!$F$14&lt;&gt;"",'Your debts'!$F$8&lt;'Your debts'!$F$14),R74,0)+IF(AND('Your debts'!$F$9&lt;&gt;"",'Your debts'!$F$14&lt;&gt;"",'Your debts'!$F$9&lt;'Your debts'!$F$14),W74,0)+IF(AND('Your debts'!$F$10&lt;&gt;"",'Your debts'!$F$14&lt;&gt;"",'Your debts'!$F$10&lt;'Your debts'!$F$14),AB74,0)+IF(AND('Your debts'!$F$11&lt;&gt;"",'Your debts'!$F$14&lt;&gt;"",'Your debts'!$F$11&lt;'Your debts'!$F$14),AG74,0)+IF(AND('Your debts'!$F$12&lt;&gt;"",'Your debts'!$F$14&lt;&gt;"",'Your debts'!$F$12&lt;'Your debts'!$F$14),AL74,0)+IF(AND('Your debts'!$F$13&lt;&gt;"",'Your debts'!$F$14&lt;&gt;"",'Your debts'!$F$13&lt;'Your debts'!$F$14),AQ74,0)+IF(AND('Your debts'!$F$15&lt;&gt;"",'Your debts'!$F$14&lt;&gt;"",'Your debts'!$F$15&lt;'Your debts'!$F$14),BA74,0)))))</f>
        <v/>
      </c>
      <c r="AX74" s="33">
        <f>AV74-AW74</f>
        <v/>
      </c>
      <c r="AY74" s="33">
        <f>IF(BC73&lt;=0,0,ROUND(BC73*(1+'Your debts'!$D$15/1200),2))</f>
        <v/>
      </c>
      <c r="AZ74" s="33">
        <f>IF(AY74&lt;=0,0,MIN('Your debts'!$E$15,AY74))</f>
        <v/>
      </c>
      <c r="BA74" s="33">
        <f>AY74-AZ74</f>
        <v/>
      </c>
      <c r="BB74" s="33">
        <f>IF('Your debts'!$F$15="",0,MIN(BA74,MAX(0,MAX(0,'Your debts'!$C$19-(G74+L74+Q74+V74+AA74+AF74+AK74+AP74+AU74+AZ74))-(IF(AND('Your debts'!$F$6&lt;&gt;"",'Your debts'!$F$15&lt;&gt;"",'Your debts'!$F$6&lt;'Your debts'!$F$15),H74,0)+IF(AND('Your debts'!$F$7&lt;&gt;"",'Your debts'!$F$15&lt;&gt;"",'Your debts'!$F$7&lt;'Your debts'!$F$15),M74,0)+IF(AND('Your debts'!$F$8&lt;&gt;"",'Your debts'!$F$15&lt;&gt;"",'Your debts'!$F$8&lt;'Your debts'!$F$15),R74,0)+IF(AND('Your debts'!$F$9&lt;&gt;"",'Your debts'!$F$15&lt;&gt;"",'Your debts'!$F$9&lt;'Your debts'!$F$15),W74,0)+IF(AND('Your debts'!$F$10&lt;&gt;"",'Your debts'!$F$15&lt;&gt;"",'Your debts'!$F$10&lt;'Your debts'!$F$15),AB74,0)+IF(AND('Your debts'!$F$11&lt;&gt;"",'Your debts'!$F$15&lt;&gt;"",'Your debts'!$F$11&lt;'Your debts'!$F$15),AG74,0)+IF(AND('Your debts'!$F$12&lt;&gt;"",'Your debts'!$F$15&lt;&gt;"",'Your debts'!$F$12&lt;'Your debts'!$F$15),AL74,0)+IF(AND('Your debts'!$F$13&lt;&gt;"",'Your debts'!$F$15&lt;&gt;"",'Your debts'!$F$13&lt;'Your debts'!$F$15),AQ74,0)+IF(AND('Your debts'!$F$14&lt;&gt;"",'Your debts'!$F$15&lt;&gt;"",'Your debts'!$F$14&lt;'Your debts'!$F$15),AV74,0)))))</f>
        <v/>
      </c>
      <c r="BC74" s="33">
        <f>BA74-BB74</f>
        <v/>
      </c>
    </row>
    <row r="75">
      <c r="A75" s="30" t="n">
        <v>60</v>
      </c>
      <c r="B75" s="31">
        <f>EDATE($B$15,60)</f>
        <v/>
      </c>
      <c r="C75" s="32">
        <f>IF(J74&lt;=0,0,F75-J74)+IF(O74&lt;=0,0,K75-O74)+IF(T74&lt;=0,0,P75-T74)+IF(Y74&lt;=0,0,U75-Y74)+IF(AD74&lt;=0,0,Z75-AD74)+IF(AI74&lt;=0,0,AE75-AI74)+IF(AN74&lt;=0,0,AJ75-AN74)+IF(AS74&lt;=0,0,AO75-AS74)+IF(AX74&lt;=0,0,AT75-AX74)+IF(BC74&lt;=0,0,AY75-BC74)</f>
        <v/>
      </c>
      <c r="D75" s="32">
        <f>G75+I75+L75+N75+Q75+S75+V75+X75+AA75+AC75+AF75+AH75+AK75+AM75+AP75+AR75+AU75+AW75+AZ75+BB75</f>
        <v/>
      </c>
      <c r="E75" s="32">
        <f>J75+O75+T75+Y75+AD75+AI75+AN75+AS75+AX75+BC75</f>
        <v/>
      </c>
      <c r="F75" s="33">
        <f>IF(J74&lt;=0,0,ROUND(J74*(1+'Your debts'!$D$6/1200),2))</f>
        <v/>
      </c>
      <c r="G75" s="33">
        <f>IF(F75&lt;=0,0,MIN('Your debts'!$E$6,F75))</f>
        <v/>
      </c>
      <c r="H75" s="33">
        <f>F75-G75</f>
        <v/>
      </c>
      <c r="I75" s="33">
        <f>IF('Your debts'!$F$6="",0,MIN(H75,MAX(0,MAX(0,'Your debts'!$C$19-(G75+L75+Q75+V75+AA75+AF75+AK75+AP75+AU75+AZ75))-(IF(AND('Your debts'!$F$7&lt;&gt;"",'Your debts'!$F$6&lt;&gt;"",'Your debts'!$F$7&lt;'Your debts'!$F$6),M75,0)+IF(AND('Your debts'!$F$8&lt;&gt;"",'Your debts'!$F$6&lt;&gt;"",'Your debts'!$F$8&lt;'Your debts'!$F$6),R75,0)+IF(AND('Your debts'!$F$9&lt;&gt;"",'Your debts'!$F$6&lt;&gt;"",'Your debts'!$F$9&lt;'Your debts'!$F$6),W75,0)+IF(AND('Your debts'!$F$10&lt;&gt;"",'Your debts'!$F$6&lt;&gt;"",'Your debts'!$F$10&lt;'Your debts'!$F$6),AB75,0)+IF(AND('Your debts'!$F$11&lt;&gt;"",'Your debts'!$F$6&lt;&gt;"",'Your debts'!$F$11&lt;'Your debts'!$F$6),AG75,0)+IF(AND('Your debts'!$F$12&lt;&gt;"",'Your debts'!$F$6&lt;&gt;"",'Your debts'!$F$12&lt;'Your debts'!$F$6),AL75,0)+IF(AND('Your debts'!$F$13&lt;&gt;"",'Your debts'!$F$6&lt;&gt;"",'Your debts'!$F$13&lt;'Your debts'!$F$6),AQ75,0)+IF(AND('Your debts'!$F$14&lt;&gt;"",'Your debts'!$F$6&lt;&gt;"",'Your debts'!$F$14&lt;'Your debts'!$F$6),AV75,0)+IF(AND('Your debts'!$F$15&lt;&gt;"",'Your debts'!$F$6&lt;&gt;"",'Your debts'!$F$15&lt;'Your debts'!$F$6),BA75,0)))))</f>
        <v/>
      </c>
      <c r="J75" s="33">
        <f>H75-I75</f>
        <v/>
      </c>
      <c r="K75" s="33">
        <f>IF(O74&lt;=0,0,ROUND(O74*(1+'Your debts'!$D$7/1200),2))</f>
        <v/>
      </c>
      <c r="L75" s="33">
        <f>IF(K75&lt;=0,0,MIN('Your debts'!$E$7,K75))</f>
        <v/>
      </c>
      <c r="M75" s="33">
        <f>K75-L75</f>
        <v/>
      </c>
      <c r="N75" s="33">
        <f>IF('Your debts'!$F$7="",0,MIN(M75,MAX(0,MAX(0,'Your debts'!$C$19-(G75+L75+Q75+V75+AA75+AF75+AK75+AP75+AU75+AZ75))-(IF(AND('Your debts'!$F$6&lt;&gt;"",'Your debts'!$F$7&lt;&gt;"",'Your debts'!$F$6&lt;'Your debts'!$F$7),H75,0)+IF(AND('Your debts'!$F$8&lt;&gt;"",'Your debts'!$F$7&lt;&gt;"",'Your debts'!$F$8&lt;'Your debts'!$F$7),R75,0)+IF(AND('Your debts'!$F$9&lt;&gt;"",'Your debts'!$F$7&lt;&gt;"",'Your debts'!$F$9&lt;'Your debts'!$F$7),W75,0)+IF(AND('Your debts'!$F$10&lt;&gt;"",'Your debts'!$F$7&lt;&gt;"",'Your debts'!$F$10&lt;'Your debts'!$F$7),AB75,0)+IF(AND('Your debts'!$F$11&lt;&gt;"",'Your debts'!$F$7&lt;&gt;"",'Your debts'!$F$11&lt;'Your debts'!$F$7),AG75,0)+IF(AND('Your debts'!$F$12&lt;&gt;"",'Your debts'!$F$7&lt;&gt;"",'Your debts'!$F$12&lt;'Your debts'!$F$7),AL75,0)+IF(AND('Your debts'!$F$13&lt;&gt;"",'Your debts'!$F$7&lt;&gt;"",'Your debts'!$F$13&lt;'Your debts'!$F$7),AQ75,0)+IF(AND('Your debts'!$F$14&lt;&gt;"",'Your debts'!$F$7&lt;&gt;"",'Your debts'!$F$14&lt;'Your debts'!$F$7),AV75,0)+IF(AND('Your debts'!$F$15&lt;&gt;"",'Your debts'!$F$7&lt;&gt;"",'Your debts'!$F$15&lt;'Your debts'!$F$7),BA75,0)))))</f>
        <v/>
      </c>
      <c r="O75" s="33">
        <f>M75-N75</f>
        <v/>
      </c>
      <c r="P75" s="33">
        <f>IF(T74&lt;=0,0,ROUND(T74*(1+'Your debts'!$D$8/1200),2))</f>
        <v/>
      </c>
      <c r="Q75" s="33">
        <f>IF(P75&lt;=0,0,MIN('Your debts'!$E$8,P75))</f>
        <v/>
      </c>
      <c r="R75" s="33">
        <f>P75-Q75</f>
        <v/>
      </c>
      <c r="S75" s="33">
        <f>IF('Your debts'!$F$8="",0,MIN(R75,MAX(0,MAX(0,'Your debts'!$C$19-(G75+L75+Q75+V75+AA75+AF75+AK75+AP75+AU75+AZ75))-(IF(AND('Your debts'!$F$6&lt;&gt;"",'Your debts'!$F$8&lt;&gt;"",'Your debts'!$F$6&lt;'Your debts'!$F$8),H75,0)+IF(AND('Your debts'!$F$7&lt;&gt;"",'Your debts'!$F$8&lt;&gt;"",'Your debts'!$F$7&lt;'Your debts'!$F$8),M75,0)+IF(AND('Your debts'!$F$9&lt;&gt;"",'Your debts'!$F$8&lt;&gt;"",'Your debts'!$F$9&lt;'Your debts'!$F$8),W75,0)+IF(AND('Your debts'!$F$10&lt;&gt;"",'Your debts'!$F$8&lt;&gt;"",'Your debts'!$F$10&lt;'Your debts'!$F$8),AB75,0)+IF(AND('Your debts'!$F$11&lt;&gt;"",'Your debts'!$F$8&lt;&gt;"",'Your debts'!$F$11&lt;'Your debts'!$F$8),AG75,0)+IF(AND('Your debts'!$F$12&lt;&gt;"",'Your debts'!$F$8&lt;&gt;"",'Your debts'!$F$12&lt;'Your debts'!$F$8),AL75,0)+IF(AND('Your debts'!$F$13&lt;&gt;"",'Your debts'!$F$8&lt;&gt;"",'Your debts'!$F$13&lt;'Your debts'!$F$8),AQ75,0)+IF(AND('Your debts'!$F$14&lt;&gt;"",'Your debts'!$F$8&lt;&gt;"",'Your debts'!$F$14&lt;'Your debts'!$F$8),AV75,0)+IF(AND('Your debts'!$F$15&lt;&gt;"",'Your debts'!$F$8&lt;&gt;"",'Your debts'!$F$15&lt;'Your debts'!$F$8),BA75,0)))))</f>
        <v/>
      </c>
      <c r="T75" s="33">
        <f>R75-S75</f>
        <v/>
      </c>
      <c r="U75" s="33">
        <f>IF(Y74&lt;=0,0,ROUND(Y74*(1+'Your debts'!$D$9/1200),2))</f>
        <v/>
      </c>
      <c r="V75" s="33">
        <f>IF(U75&lt;=0,0,MIN('Your debts'!$E$9,U75))</f>
        <v/>
      </c>
      <c r="W75" s="33">
        <f>U75-V75</f>
        <v/>
      </c>
      <c r="X75" s="33">
        <f>IF('Your debts'!$F$9="",0,MIN(W75,MAX(0,MAX(0,'Your debts'!$C$19-(G75+L75+Q75+V75+AA75+AF75+AK75+AP75+AU75+AZ75))-(IF(AND('Your debts'!$F$6&lt;&gt;"",'Your debts'!$F$9&lt;&gt;"",'Your debts'!$F$6&lt;'Your debts'!$F$9),H75,0)+IF(AND('Your debts'!$F$7&lt;&gt;"",'Your debts'!$F$9&lt;&gt;"",'Your debts'!$F$7&lt;'Your debts'!$F$9),M75,0)+IF(AND('Your debts'!$F$8&lt;&gt;"",'Your debts'!$F$9&lt;&gt;"",'Your debts'!$F$8&lt;'Your debts'!$F$9),R75,0)+IF(AND('Your debts'!$F$10&lt;&gt;"",'Your debts'!$F$9&lt;&gt;"",'Your debts'!$F$10&lt;'Your debts'!$F$9),AB75,0)+IF(AND('Your debts'!$F$11&lt;&gt;"",'Your debts'!$F$9&lt;&gt;"",'Your debts'!$F$11&lt;'Your debts'!$F$9),AG75,0)+IF(AND('Your debts'!$F$12&lt;&gt;"",'Your debts'!$F$9&lt;&gt;"",'Your debts'!$F$12&lt;'Your debts'!$F$9),AL75,0)+IF(AND('Your debts'!$F$13&lt;&gt;"",'Your debts'!$F$9&lt;&gt;"",'Your debts'!$F$13&lt;'Your debts'!$F$9),AQ75,0)+IF(AND('Your debts'!$F$14&lt;&gt;"",'Your debts'!$F$9&lt;&gt;"",'Your debts'!$F$14&lt;'Your debts'!$F$9),AV75,0)+IF(AND('Your debts'!$F$15&lt;&gt;"",'Your debts'!$F$9&lt;&gt;"",'Your debts'!$F$15&lt;'Your debts'!$F$9),BA75,0)))))</f>
        <v/>
      </c>
      <c r="Y75" s="33">
        <f>W75-X75</f>
        <v/>
      </c>
      <c r="Z75" s="33">
        <f>IF(AD74&lt;=0,0,ROUND(AD74*(1+'Your debts'!$D$10/1200),2))</f>
        <v/>
      </c>
      <c r="AA75" s="33">
        <f>IF(Z75&lt;=0,0,MIN('Your debts'!$E$10,Z75))</f>
        <v/>
      </c>
      <c r="AB75" s="33">
        <f>Z75-AA75</f>
        <v/>
      </c>
      <c r="AC75" s="33">
        <f>IF('Your debts'!$F$10="",0,MIN(AB75,MAX(0,MAX(0,'Your debts'!$C$19-(G75+L75+Q75+V75+AA75+AF75+AK75+AP75+AU75+AZ75))-(IF(AND('Your debts'!$F$6&lt;&gt;"",'Your debts'!$F$10&lt;&gt;"",'Your debts'!$F$6&lt;'Your debts'!$F$10),H75,0)+IF(AND('Your debts'!$F$7&lt;&gt;"",'Your debts'!$F$10&lt;&gt;"",'Your debts'!$F$7&lt;'Your debts'!$F$10),M75,0)+IF(AND('Your debts'!$F$8&lt;&gt;"",'Your debts'!$F$10&lt;&gt;"",'Your debts'!$F$8&lt;'Your debts'!$F$10),R75,0)+IF(AND('Your debts'!$F$9&lt;&gt;"",'Your debts'!$F$10&lt;&gt;"",'Your debts'!$F$9&lt;'Your debts'!$F$10),W75,0)+IF(AND('Your debts'!$F$11&lt;&gt;"",'Your debts'!$F$10&lt;&gt;"",'Your debts'!$F$11&lt;'Your debts'!$F$10),AG75,0)+IF(AND('Your debts'!$F$12&lt;&gt;"",'Your debts'!$F$10&lt;&gt;"",'Your debts'!$F$12&lt;'Your debts'!$F$10),AL75,0)+IF(AND('Your debts'!$F$13&lt;&gt;"",'Your debts'!$F$10&lt;&gt;"",'Your debts'!$F$13&lt;'Your debts'!$F$10),AQ75,0)+IF(AND('Your debts'!$F$14&lt;&gt;"",'Your debts'!$F$10&lt;&gt;"",'Your debts'!$F$14&lt;'Your debts'!$F$10),AV75,0)+IF(AND('Your debts'!$F$15&lt;&gt;"",'Your debts'!$F$10&lt;&gt;"",'Your debts'!$F$15&lt;'Your debts'!$F$10),BA75,0)))))</f>
        <v/>
      </c>
      <c r="AD75" s="33">
        <f>AB75-AC75</f>
        <v/>
      </c>
      <c r="AE75" s="33">
        <f>IF(AI74&lt;=0,0,ROUND(AI74*(1+'Your debts'!$D$11/1200),2))</f>
        <v/>
      </c>
      <c r="AF75" s="33">
        <f>IF(AE75&lt;=0,0,MIN('Your debts'!$E$11,AE75))</f>
        <v/>
      </c>
      <c r="AG75" s="33">
        <f>AE75-AF75</f>
        <v/>
      </c>
      <c r="AH75" s="33">
        <f>IF('Your debts'!$F$11="",0,MIN(AG75,MAX(0,MAX(0,'Your debts'!$C$19-(G75+L75+Q75+V75+AA75+AF75+AK75+AP75+AU75+AZ75))-(IF(AND('Your debts'!$F$6&lt;&gt;"",'Your debts'!$F$11&lt;&gt;"",'Your debts'!$F$6&lt;'Your debts'!$F$11),H75,0)+IF(AND('Your debts'!$F$7&lt;&gt;"",'Your debts'!$F$11&lt;&gt;"",'Your debts'!$F$7&lt;'Your debts'!$F$11),M75,0)+IF(AND('Your debts'!$F$8&lt;&gt;"",'Your debts'!$F$11&lt;&gt;"",'Your debts'!$F$8&lt;'Your debts'!$F$11),R75,0)+IF(AND('Your debts'!$F$9&lt;&gt;"",'Your debts'!$F$11&lt;&gt;"",'Your debts'!$F$9&lt;'Your debts'!$F$11),W75,0)+IF(AND('Your debts'!$F$10&lt;&gt;"",'Your debts'!$F$11&lt;&gt;"",'Your debts'!$F$10&lt;'Your debts'!$F$11),AB75,0)+IF(AND('Your debts'!$F$12&lt;&gt;"",'Your debts'!$F$11&lt;&gt;"",'Your debts'!$F$12&lt;'Your debts'!$F$11),AL75,0)+IF(AND('Your debts'!$F$13&lt;&gt;"",'Your debts'!$F$11&lt;&gt;"",'Your debts'!$F$13&lt;'Your debts'!$F$11),AQ75,0)+IF(AND('Your debts'!$F$14&lt;&gt;"",'Your debts'!$F$11&lt;&gt;"",'Your debts'!$F$14&lt;'Your debts'!$F$11),AV75,0)+IF(AND('Your debts'!$F$15&lt;&gt;"",'Your debts'!$F$11&lt;&gt;"",'Your debts'!$F$15&lt;'Your debts'!$F$11),BA75,0)))))</f>
        <v/>
      </c>
      <c r="AI75" s="33">
        <f>AG75-AH75</f>
        <v/>
      </c>
      <c r="AJ75" s="33">
        <f>IF(AN74&lt;=0,0,ROUND(AN74*(1+'Your debts'!$D$12/1200),2))</f>
        <v/>
      </c>
      <c r="AK75" s="33">
        <f>IF(AJ75&lt;=0,0,MIN('Your debts'!$E$12,AJ75))</f>
        <v/>
      </c>
      <c r="AL75" s="33">
        <f>AJ75-AK75</f>
        <v/>
      </c>
      <c r="AM75" s="33">
        <f>IF('Your debts'!$F$12="",0,MIN(AL75,MAX(0,MAX(0,'Your debts'!$C$19-(G75+L75+Q75+V75+AA75+AF75+AK75+AP75+AU75+AZ75))-(IF(AND('Your debts'!$F$6&lt;&gt;"",'Your debts'!$F$12&lt;&gt;"",'Your debts'!$F$6&lt;'Your debts'!$F$12),H75,0)+IF(AND('Your debts'!$F$7&lt;&gt;"",'Your debts'!$F$12&lt;&gt;"",'Your debts'!$F$7&lt;'Your debts'!$F$12),M75,0)+IF(AND('Your debts'!$F$8&lt;&gt;"",'Your debts'!$F$12&lt;&gt;"",'Your debts'!$F$8&lt;'Your debts'!$F$12),R75,0)+IF(AND('Your debts'!$F$9&lt;&gt;"",'Your debts'!$F$12&lt;&gt;"",'Your debts'!$F$9&lt;'Your debts'!$F$12),W75,0)+IF(AND('Your debts'!$F$10&lt;&gt;"",'Your debts'!$F$12&lt;&gt;"",'Your debts'!$F$10&lt;'Your debts'!$F$12),AB75,0)+IF(AND('Your debts'!$F$11&lt;&gt;"",'Your debts'!$F$12&lt;&gt;"",'Your debts'!$F$11&lt;'Your debts'!$F$12),AG75,0)+IF(AND('Your debts'!$F$13&lt;&gt;"",'Your debts'!$F$12&lt;&gt;"",'Your debts'!$F$13&lt;'Your debts'!$F$12),AQ75,0)+IF(AND('Your debts'!$F$14&lt;&gt;"",'Your debts'!$F$12&lt;&gt;"",'Your debts'!$F$14&lt;'Your debts'!$F$12),AV75,0)+IF(AND('Your debts'!$F$15&lt;&gt;"",'Your debts'!$F$12&lt;&gt;"",'Your debts'!$F$15&lt;'Your debts'!$F$12),BA75,0)))))</f>
        <v/>
      </c>
      <c r="AN75" s="33">
        <f>AL75-AM75</f>
        <v/>
      </c>
      <c r="AO75" s="33">
        <f>IF(AS74&lt;=0,0,ROUND(AS74*(1+'Your debts'!$D$13/1200),2))</f>
        <v/>
      </c>
      <c r="AP75" s="33">
        <f>IF(AO75&lt;=0,0,MIN('Your debts'!$E$13,AO75))</f>
        <v/>
      </c>
      <c r="AQ75" s="33">
        <f>AO75-AP75</f>
        <v/>
      </c>
      <c r="AR75" s="33">
        <f>IF('Your debts'!$F$13="",0,MIN(AQ75,MAX(0,MAX(0,'Your debts'!$C$19-(G75+L75+Q75+V75+AA75+AF75+AK75+AP75+AU75+AZ75))-(IF(AND('Your debts'!$F$6&lt;&gt;"",'Your debts'!$F$13&lt;&gt;"",'Your debts'!$F$6&lt;'Your debts'!$F$13),H75,0)+IF(AND('Your debts'!$F$7&lt;&gt;"",'Your debts'!$F$13&lt;&gt;"",'Your debts'!$F$7&lt;'Your debts'!$F$13),M75,0)+IF(AND('Your debts'!$F$8&lt;&gt;"",'Your debts'!$F$13&lt;&gt;"",'Your debts'!$F$8&lt;'Your debts'!$F$13),R75,0)+IF(AND('Your debts'!$F$9&lt;&gt;"",'Your debts'!$F$13&lt;&gt;"",'Your debts'!$F$9&lt;'Your debts'!$F$13),W75,0)+IF(AND('Your debts'!$F$10&lt;&gt;"",'Your debts'!$F$13&lt;&gt;"",'Your debts'!$F$10&lt;'Your debts'!$F$13),AB75,0)+IF(AND('Your debts'!$F$11&lt;&gt;"",'Your debts'!$F$13&lt;&gt;"",'Your debts'!$F$11&lt;'Your debts'!$F$13),AG75,0)+IF(AND('Your debts'!$F$12&lt;&gt;"",'Your debts'!$F$13&lt;&gt;"",'Your debts'!$F$12&lt;'Your debts'!$F$13),AL75,0)+IF(AND('Your debts'!$F$14&lt;&gt;"",'Your debts'!$F$13&lt;&gt;"",'Your debts'!$F$14&lt;'Your debts'!$F$13),AV75,0)+IF(AND('Your debts'!$F$15&lt;&gt;"",'Your debts'!$F$13&lt;&gt;"",'Your debts'!$F$15&lt;'Your debts'!$F$13),BA75,0)))))</f>
        <v/>
      </c>
      <c r="AS75" s="33">
        <f>AQ75-AR75</f>
        <v/>
      </c>
      <c r="AT75" s="33">
        <f>IF(AX74&lt;=0,0,ROUND(AX74*(1+'Your debts'!$D$14/1200),2))</f>
        <v/>
      </c>
      <c r="AU75" s="33">
        <f>IF(AT75&lt;=0,0,MIN('Your debts'!$E$14,AT75))</f>
        <v/>
      </c>
      <c r="AV75" s="33">
        <f>AT75-AU75</f>
        <v/>
      </c>
      <c r="AW75" s="33">
        <f>IF('Your debts'!$F$14="",0,MIN(AV75,MAX(0,MAX(0,'Your debts'!$C$19-(G75+L75+Q75+V75+AA75+AF75+AK75+AP75+AU75+AZ75))-(IF(AND('Your debts'!$F$6&lt;&gt;"",'Your debts'!$F$14&lt;&gt;"",'Your debts'!$F$6&lt;'Your debts'!$F$14),H75,0)+IF(AND('Your debts'!$F$7&lt;&gt;"",'Your debts'!$F$14&lt;&gt;"",'Your debts'!$F$7&lt;'Your debts'!$F$14),M75,0)+IF(AND('Your debts'!$F$8&lt;&gt;"",'Your debts'!$F$14&lt;&gt;"",'Your debts'!$F$8&lt;'Your debts'!$F$14),R75,0)+IF(AND('Your debts'!$F$9&lt;&gt;"",'Your debts'!$F$14&lt;&gt;"",'Your debts'!$F$9&lt;'Your debts'!$F$14),W75,0)+IF(AND('Your debts'!$F$10&lt;&gt;"",'Your debts'!$F$14&lt;&gt;"",'Your debts'!$F$10&lt;'Your debts'!$F$14),AB75,0)+IF(AND('Your debts'!$F$11&lt;&gt;"",'Your debts'!$F$14&lt;&gt;"",'Your debts'!$F$11&lt;'Your debts'!$F$14),AG75,0)+IF(AND('Your debts'!$F$12&lt;&gt;"",'Your debts'!$F$14&lt;&gt;"",'Your debts'!$F$12&lt;'Your debts'!$F$14),AL75,0)+IF(AND('Your debts'!$F$13&lt;&gt;"",'Your debts'!$F$14&lt;&gt;"",'Your debts'!$F$13&lt;'Your debts'!$F$14),AQ75,0)+IF(AND('Your debts'!$F$15&lt;&gt;"",'Your debts'!$F$14&lt;&gt;"",'Your debts'!$F$15&lt;'Your debts'!$F$14),BA75,0)))))</f>
        <v/>
      </c>
      <c r="AX75" s="33">
        <f>AV75-AW75</f>
        <v/>
      </c>
      <c r="AY75" s="33">
        <f>IF(BC74&lt;=0,0,ROUND(BC74*(1+'Your debts'!$D$15/1200),2))</f>
        <v/>
      </c>
      <c r="AZ75" s="33">
        <f>IF(AY75&lt;=0,0,MIN('Your debts'!$E$15,AY75))</f>
        <v/>
      </c>
      <c r="BA75" s="33">
        <f>AY75-AZ75</f>
        <v/>
      </c>
      <c r="BB75" s="33">
        <f>IF('Your debts'!$F$15="",0,MIN(BA75,MAX(0,MAX(0,'Your debts'!$C$19-(G75+L75+Q75+V75+AA75+AF75+AK75+AP75+AU75+AZ75))-(IF(AND('Your debts'!$F$6&lt;&gt;"",'Your debts'!$F$15&lt;&gt;"",'Your debts'!$F$6&lt;'Your debts'!$F$15),H75,0)+IF(AND('Your debts'!$F$7&lt;&gt;"",'Your debts'!$F$15&lt;&gt;"",'Your debts'!$F$7&lt;'Your debts'!$F$15),M75,0)+IF(AND('Your debts'!$F$8&lt;&gt;"",'Your debts'!$F$15&lt;&gt;"",'Your debts'!$F$8&lt;'Your debts'!$F$15),R75,0)+IF(AND('Your debts'!$F$9&lt;&gt;"",'Your debts'!$F$15&lt;&gt;"",'Your debts'!$F$9&lt;'Your debts'!$F$15),W75,0)+IF(AND('Your debts'!$F$10&lt;&gt;"",'Your debts'!$F$15&lt;&gt;"",'Your debts'!$F$10&lt;'Your debts'!$F$15),AB75,0)+IF(AND('Your debts'!$F$11&lt;&gt;"",'Your debts'!$F$15&lt;&gt;"",'Your debts'!$F$11&lt;'Your debts'!$F$15),AG75,0)+IF(AND('Your debts'!$F$12&lt;&gt;"",'Your debts'!$F$15&lt;&gt;"",'Your debts'!$F$12&lt;'Your debts'!$F$15),AL75,0)+IF(AND('Your debts'!$F$13&lt;&gt;"",'Your debts'!$F$15&lt;&gt;"",'Your debts'!$F$13&lt;'Your debts'!$F$15),AQ75,0)+IF(AND('Your debts'!$F$14&lt;&gt;"",'Your debts'!$F$15&lt;&gt;"",'Your debts'!$F$14&lt;'Your debts'!$F$15),AV75,0)))))</f>
        <v/>
      </c>
      <c r="BC75" s="33">
        <f>BA75-BB75</f>
        <v/>
      </c>
    </row>
    <row r="76">
      <c r="A76" s="30" t="n">
        <v>61</v>
      </c>
      <c r="B76" s="31">
        <f>EDATE($B$15,61)</f>
        <v/>
      </c>
      <c r="C76" s="32">
        <f>IF(J75&lt;=0,0,F76-J75)+IF(O75&lt;=0,0,K76-O75)+IF(T75&lt;=0,0,P76-T75)+IF(Y75&lt;=0,0,U76-Y75)+IF(AD75&lt;=0,0,Z76-AD75)+IF(AI75&lt;=0,0,AE76-AI75)+IF(AN75&lt;=0,0,AJ76-AN75)+IF(AS75&lt;=0,0,AO76-AS75)+IF(AX75&lt;=0,0,AT76-AX75)+IF(BC75&lt;=0,0,AY76-BC75)</f>
        <v/>
      </c>
      <c r="D76" s="32">
        <f>G76+I76+L76+N76+Q76+S76+V76+X76+AA76+AC76+AF76+AH76+AK76+AM76+AP76+AR76+AU76+AW76+AZ76+BB76</f>
        <v/>
      </c>
      <c r="E76" s="32">
        <f>J76+O76+T76+Y76+AD76+AI76+AN76+AS76+AX76+BC76</f>
        <v/>
      </c>
      <c r="F76" s="33">
        <f>IF(J75&lt;=0,0,ROUND(J75*(1+'Your debts'!$D$6/1200),2))</f>
        <v/>
      </c>
      <c r="G76" s="33">
        <f>IF(F76&lt;=0,0,MIN('Your debts'!$E$6,F76))</f>
        <v/>
      </c>
      <c r="H76" s="33">
        <f>F76-G76</f>
        <v/>
      </c>
      <c r="I76" s="33">
        <f>IF('Your debts'!$F$6="",0,MIN(H76,MAX(0,MAX(0,'Your debts'!$C$19-(G76+L76+Q76+V76+AA76+AF76+AK76+AP76+AU76+AZ76))-(IF(AND('Your debts'!$F$7&lt;&gt;"",'Your debts'!$F$6&lt;&gt;"",'Your debts'!$F$7&lt;'Your debts'!$F$6),M76,0)+IF(AND('Your debts'!$F$8&lt;&gt;"",'Your debts'!$F$6&lt;&gt;"",'Your debts'!$F$8&lt;'Your debts'!$F$6),R76,0)+IF(AND('Your debts'!$F$9&lt;&gt;"",'Your debts'!$F$6&lt;&gt;"",'Your debts'!$F$9&lt;'Your debts'!$F$6),W76,0)+IF(AND('Your debts'!$F$10&lt;&gt;"",'Your debts'!$F$6&lt;&gt;"",'Your debts'!$F$10&lt;'Your debts'!$F$6),AB76,0)+IF(AND('Your debts'!$F$11&lt;&gt;"",'Your debts'!$F$6&lt;&gt;"",'Your debts'!$F$11&lt;'Your debts'!$F$6),AG76,0)+IF(AND('Your debts'!$F$12&lt;&gt;"",'Your debts'!$F$6&lt;&gt;"",'Your debts'!$F$12&lt;'Your debts'!$F$6),AL76,0)+IF(AND('Your debts'!$F$13&lt;&gt;"",'Your debts'!$F$6&lt;&gt;"",'Your debts'!$F$13&lt;'Your debts'!$F$6),AQ76,0)+IF(AND('Your debts'!$F$14&lt;&gt;"",'Your debts'!$F$6&lt;&gt;"",'Your debts'!$F$14&lt;'Your debts'!$F$6),AV76,0)+IF(AND('Your debts'!$F$15&lt;&gt;"",'Your debts'!$F$6&lt;&gt;"",'Your debts'!$F$15&lt;'Your debts'!$F$6),BA76,0)))))</f>
        <v/>
      </c>
      <c r="J76" s="33">
        <f>H76-I76</f>
        <v/>
      </c>
      <c r="K76" s="33">
        <f>IF(O75&lt;=0,0,ROUND(O75*(1+'Your debts'!$D$7/1200),2))</f>
        <v/>
      </c>
      <c r="L76" s="33">
        <f>IF(K76&lt;=0,0,MIN('Your debts'!$E$7,K76))</f>
        <v/>
      </c>
      <c r="M76" s="33">
        <f>K76-L76</f>
        <v/>
      </c>
      <c r="N76" s="33">
        <f>IF('Your debts'!$F$7="",0,MIN(M76,MAX(0,MAX(0,'Your debts'!$C$19-(G76+L76+Q76+V76+AA76+AF76+AK76+AP76+AU76+AZ76))-(IF(AND('Your debts'!$F$6&lt;&gt;"",'Your debts'!$F$7&lt;&gt;"",'Your debts'!$F$6&lt;'Your debts'!$F$7),H76,0)+IF(AND('Your debts'!$F$8&lt;&gt;"",'Your debts'!$F$7&lt;&gt;"",'Your debts'!$F$8&lt;'Your debts'!$F$7),R76,0)+IF(AND('Your debts'!$F$9&lt;&gt;"",'Your debts'!$F$7&lt;&gt;"",'Your debts'!$F$9&lt;'Your debts'!$F$7),W76,0)+IF(AND('Your debts'!$F$10&lt;&gt;"",'Your debts'!$F$7&lt;&gt;"",'Your debts'!$F$10&lt;'Your debts'!$F$7),AB76,0)+IF(AND('Your debts'!$F$11&lt;&gt;"",'Your debts'!$F$7&lt;&gt;"",'Your debts'!$F$11&lt;'Your debts'!$F$7),AG76,0)+IF(AND('Your debts'!$F$12&lt;&gt;"",'Your debts'!$F$7&lt;&gt;"",'Your debts'!$F$12&lt;'Your debts'!$F$7),AL76,0)+IF(AND('Your debts'!$F$13&lt;&gt;"",'Your debts'!$F$7&lt;&gt;"",'Your debts'!$F$13&lt;'Your debts'!$F$7),AQ76,0)+IF(AND('Your debts'!$F$14&lt;&gt;"",'Your debts'!$F$7&lt;&gt;"",'Your debts'!$F$14&lt;'Your debts'!$F$7),AV76,0)+IF(AND('Your debts'!$F$15&lt;&gt;"",'Your debts'!$F$7&lt;&gt;"",'Your debts'!$F$15&lt;'Your debts'!$F$7),BA76,0)))))</f>
        <v/>
      </c>
      <c r="O76" s="33">
        <f>M76-N76</f>
        <v/>
      </c>
      <c r="P76" s="33">
        <f>IF(T75&lt;=0,0,ROUND(T75*(1+'Your debts'!$D$8/1200),2))</f>
        <v/>
      </c>
      <c r="Q76" s="33">
        <f>IF(P76&lt;=0,0,MIN('Your debts'!$E$8,P76))</f>
        <v/>
      </c>
      <c r="R76" s="33">
        <f>P76-Q76</f>
        <v/>
      </c>
      <c r="S76" s="33">
        <f>IF('Your debts'!$F$8="",0,MIN(R76,MAX(0,MAX(0,'Your debts'!$C$19-(G76+L76+Q76+V76+AA76+AF76+AK76+AP76+AU76+AZ76))-(IF(AND('Your debts'!$F$6&lt;&gt;"",'Your debts'!$F$8&lt;&gt;"",'Your debts'!$F$6&lt;'Your debts'!$F$8),H76,0)+IF(AND('Your debts'!$F$7&lt;&gt;"",'Your debts'!$F$8&lt;&gt;"",'Your debts'!$F$7&lt;'Your debts'!$F$8),M76,0)+IF(AND('Your debts'!$F$9&lt;&gt;"",'Your debts'!$F$8&lt;&gt;"",'Your debts'!$F$9&lt;'Your debts'!$F$8),W76,0)+IF(AND('Your debts'!$F$10&lt;&gt;"",'Your debts'!$F$8&lt;&gt;"",'Your debts'!$F$10&lt;'Your debts'!$F$8),AB76,0)+IF(AND('Your debts'!$F$11&lt;&gt;"",'Your debts'!$F$8&lt;&gt;"",'Your debts'!$F$11&lt;'Your debts'!$F$8),AG76,0)+IF(AND('Your debts'!$F$12&lt;&gt;"",'Your debts'!$F$8&lt;&gt;"",'Your debts'!$F$12&lt;'Your debts'!$F$8),AL76,0)+IF(AND('Your debts'!$F$13&lt;&gt;"",'Your debts'!$F$8&lt;&gt;"",'Your debts'!$F$13&lt;'Your debts'!$F$8),AQ76,0)+IF(AND('Your debts'!$F$14&lt;&gt;"",'Your debts'!$F$8&lt;&gt;"",'Your debts'!$F$14&lt;'Your debts'!$F$8),AV76,0)+IF(AND('Your debts'!$F$15&lt;&gt;"",'Your debts'!$F$8&lt;&gt;"",'Your debts'!$F$15&lt;'Your debts'!$F$8),BA76,0)))))</f>
        <v/>
      </c>
      <c r="T76" s="33">
        <f>R76-S76</f>
        <v/>
      </c>
      <c r="U76" s="33">
        <f>IF(Y75&lt;=0,0,ROUND(Y75*(1+'Your debts'!$D$9/1200),2))</f>
        <v/>
      </c>
      <c r="V76" s="33">
        <f>IF(U76&lt;=0,0,MIN('Your debts'!$E$9,U76))</f>
        <v/>
      </c>
      <c r="W76" s="33">
        <f>U76-V76</f>
        <v/>
      </c>
      <c r="X76" s="33">
        <f>IF('Your debts'!$F$9="",0,MIN(W76,MAX(0,MAX(0,'Your debts'!$C$19-(G76+L76+Q76+V76+AA76+AF76+AK76+AP76+AU76+AZ76))-(IF(AND('Your debts'!$F$6&lt;&gt;"",'Your debts'!$F$9&lt;&gt;"",'Your debts'!$F$6&lt;'Your debts'!$F$9),H76,0)+IF(AND('Your debts'!$F$7&lt;&gt;"",'Your debts'!$F$9&lt;&gt;"",'Your debts'!$F$7&lt;'Your debts'!$F$9),M76,0)+IF(AND('Your debts'!$F$8&lt;&gt;"",'Your debts'!$F$9&lt;&gt;"",'Your debts'!$F$8&lt;'Your debts'!$F$9),R76,0)+IF(AND('Your debts'!$F$10&lt;&gt;"",'Your debts'!$F$9&lt;&gt;"",'Your debts'!$F$10&lt;'Your debts'!$F$9),AB76,0)+IF(AND('Your debts'!$F$11&lt;&gt;"",'Your debts'!$F$9&lt;&gt;"",'Your debts'!$F$11&lt;'Your debts'!$F$9),AG76,0)+IF(AND('Your debts'!$F$12&lt;&gt;"",'Your debts'!$F$9&lt;&gt;"",'Your debts'!$F$12&lt;'Your debts'!$F$9),AL76,0)+IF(AND('Your debts'!$F$13&lt;&gt;"",'Your debts'!$F$9&lt;&gt;"",'Your debts'!$F$13&lt;'Your debts'!$F$9),AQ76,0)+IF(AND('Your debts'!$F$14&lt;&gt;"",'Your debts'!$F$9&lt;&gt;"",'Your debts'!$F$14&lt;'Your debts'!$F$9),AV76,0)+IF(AND('Your debts'!$F$15&lt;&gt;"",'Your debts'!$F$9&lt;&gt;"",'Your debts'!$F$15&lt;'Your debts'!$F$9),BA76,0)))))</f>
        <v/>
      </c>
      <c r="Y76" s="33">
        <f>W76-X76</f>
        <v/>
      </c>
      <c r="Z76" s="33">
        <f>IF(AD75&lt;=0,0,ROUND(AD75*(1+'Your debts'!$D$10/1200),2))</f>
        <v/>
      </c>
      <c r="AA76" s="33">
        <f>IF(Z76&lt;=0,0,MIN('Your debts'!$E$10,Z76))</f>
        <v/>
      </c>
      <c r="AB76" s="33">
        <f>Z76-AA76</f>
        <v/>
      </c>
      <c r="AC76" s="33">
        <f>IF('Your debts'!$F$10="",0,MIN(AB76,MAX(0,MAX(0,'Your debts'!$C$19-(G76+L76+Q76+V76+AA76+AF76+AK76+AP76+AU76+AZ76))-(IF(AND('Your debts'!$F$6&lt;&gt;"",'Your debts'!$F$10&lt;&gt;"",'Your debts'!$F$6&lt;'Your debts'!$F$10),H76,0)+IF(AND('Your debts'!$F$7&lt;&gt;"",'Your debts'!$F$10&lt;&gt;"",'Your debts'!$F$7&lt;'Your debts'!$F$10),M76,0)+IF(AND('Your debts'!$F$8&lt;&gt;"",'Your debts'!$F$10&lt;&gt;"",'Your debts'!$F$8&lt;'Your debts'!$F$10),R76,0)+IF(AND('Your debts'!$F$9&lt;&gt;"",'Your debts'!$F$10&lt;&gt;"",'Your debts'!$F$9&lt;'Your debts'!$F$10),W76,0)+IF(AND('Your debts'!$F$11&lt;&gt;"",'Your debts'!$F$10&lt;&gt;"",'Your debts'!$F$11&lt;'Your debts'!$F$10),AG76,0)+IF(AND('Your debts'!$F$12&lt;&gt;"",'Your debts'!$F$10&lt;&gt;"",'Your debts'!$F$12&lt;'Your debts'!$F$10),AL76,0)+IF(AND('Your debts'!$F$13&lt;&gt;"",'Your debts'!$F$10&lt;&gt;"",'Your debts'!$F$13&lt;'Your debts'!$F$10),AQ76,0)+IF(AND('Your debts'!$F$14&lt;&gt;"",'Your debts'!$F$10&lt;&gt;"",'Your debts'!$F$14&lt;'Your debts'!$F$10),AV76,0)+IF(AND('Your debts'!$F$15&lt;&gt;"",'Your debts'!$F$10&lt;&gt;"",'Your debts'!$F$15&lt;'Your debts'!$F$10),BA76,0)))))</f>
        <v/>
      </c>
      <c r="AD76" s="33">
        <f>AB76-AC76</f>
        <v/>
      </c>
      <c r="AE76" s="33">
        <f>IF(AI75&lt;=0,0,ROUND(AI75*(1+'Your debts'!$D$11/1200),2))</f>
        <v/>
      </c>
      <c r="AF76" s="33">
        <f>IF(AE76&lt;=0,0,MIN('Your debts'!$E$11,AE76))</f>
        <v/>
      </c>
      <c r="AG76" s="33">
        <f>AE76-AF76</f>
        <v/>
      </c>
      <c r="AH76" s="33">
        <f>IF('Your debts'!$F$11="",0,MIN(AG76,MAX(0,MAX(0,'Your debts'!$C$19-(G76+L76+Q76+V76+AA76+AF76+AK76+AP76+AU76+AZ76))-(IF(AND('Your debts'!$F$6&lt;&gt;"",'Your debts'!$F$11&lt;&gt;"",'Your debts'!$F$6&lt;'Your debts'!$F$11),H76,0)+IF(AND('Your debts'!$F$7&lt;&gt;"",'Your debts'!$F$11&lt;&gt;"",'Your debts'!$F$7&lt;'Your debts'!$F$11),M76,0)+IF(AND('Your debts'!$F$8&lt;&gt;"",'Your debts'!$F$11&lt;&gt;"",'Your debts'!$F$8&lt;'Your debts'!$F$11),R76,0)+IF(AND('Your debts'!$F$9&lt;&gt;"",'Your debts'!$F$11&lt;&gt;"",'Your debts'!$F$9&lt;'Your debts'!$F$11),W76,0)+IF(AND('Your debts'!$F$10&lt;&gt;"",'Your debts'!$F$11&lt;&gt;"",'Your debts'!$F$10&lt;'Your debts'!$F$11),AB76,0)+IF(AND('Your debts'!$F$12&lt;&gt;"",'Your debts'!$F$11&lt;&gt;"",'Your debts'!$F$12&lt;'Your debts'!$F$11),AL76,0)+IF(AND('Your debts'!$F$13&lt;&gt;"",'Your debts'!$F$11&lt;&gt;"",'Your debts'!$F$13&lt;'Your debts'!$F$11),AQ76,0)+IF(AND('Your debts'!$F$14&lt;&gt;"",'Your debts'!$F$11&lt;&gt;"",'Your debts'!$F$14&lt;'Your debts'!$F$11),AV76,0)+IF(AND('Your debts'!$F$15&lt;&gt;"",'Your debts'!$F$11&lt;&gt;"",'Your debts'!$F$15&lt;'Your debts'!$F$11),BA76,0)))))</f>
        <v/>
      </c>
      <c r="AI76" s="33">
        <f>AG76-AH76</f>
        <v/>
      </c>
      <c r="AJ76" s="33">
        <f>IF(AN75&lt;=0,0,ROUND(AN75*(1+'Your debts'!$D$12/1200),2))</f>
        <v/>
      </c>
      <c r="AK76" s="33">
        <f>IF(AJ76&lt;=0,0,MIN('Your debts'!$E$12,AJ76))</f>
        <v/>
      </c>
      <c r="AL76" s="33">
        <f>AJ76-AK76</f>
        <v/>
      </c>
      <c r="AM76" s="33">
        <f>IF('Your debts'!$F$12="",0,MIN(AL76,MAX(0,MAX(0,'Your debts'!$C$19-(G76+L76+Q76+V76+AA76+AF76+AK76+AP76+AU76+AZ76))-(IF(AND('Your debts'!$F$6&lt;&gt;"",'Your debts'!$F$12&lt;&gt;"",'Your debts'!$F$6&lt;'Your debts'!$F$12),H76,0)+IF(AND('Your debts'!$F$7&lt;&gt;"",'Your debts'!$F$12&lt;&gt;"",'Your debts'!$F$7&lt;'Your debts'!$F$12),M76,0)+IF(AND('Your debts'!$F$8&lt;&gt;"",'Your debts'!$F$12&lt;&gt;"",'Your debts'!$F$8&lt;'Your debts'!$F$12),R76,0)+IF(AND('Your debts'!$F$9&lt;&gt;"",'Your debts'!$F$12&lt;&gt;"",'Your debts'!$F$9&lt;'Your debts'!$F$12),W76,0)+IF(AND('Your debts'!$F$10&lt;&gt;"",'Your debts'!$F$12&lt;&gt;"",'Your debts'!$F$10&lt;'Your debts'!$F$12),AB76,0)+IF(AND('Your debts'!$F$11&lt;&gt;"",'Your debts'!$F$12&lt;&gt;"",'Your debts'!$F$11&lt;'Your debts'!$F$12),AG76,0)+IF(AND('Your debts'!$F$13&lt;&gt;"",'Your debts'!$F$12&lt;&gt;"",'Your debts'!$F$13&lt;'Your debts'!$F$12),AQ76,0)+IF(AND('Your debts'!$F$14&lt;&gt;"",'Your debts'!$F$12&lt;&gt;"",'Your debts'!$F$14&lt;'Your debts'!$F$12),AV76,0)+IF(AND('Your debts'!$F$15&lt;&gt;"",'Your debts'!$F$12&lt;&gt;"",'Your debts'!$F$15&lt;'Your debts'!$F$12),BA76,0)))))</f>
        <v/>
      </c>
      <c r="AN76" s="33">
        <f>AL76-AM76</f>
        <v/>
      </c>
      <c r="AO76" s="33">
        <f>IF(AS75&lt;=0,0,ROUND(AS75*(1+'Your debts'!$D$13/1200),2))</f>
        <v/>
      </c>
      <c r="AP76" s="33">
        <f>IF(AO76&lt;=0,0,MIN('Your debts'!$E$13,AO76))</f>
        <v/>
      </c>
      <c r="AQ76" s="33">
        <f>AO76-AP76</f>
        <v/>
      </c>
      <c r="AR76" s="33">
        <f>IF('Your debts'!$F$13="",0,MIN(AQ76,MAX(0,MAX(0,'Your debts'!$C$19-(G76+L76+Q76+V76+AA76+AF76+AK76+AP76+AU76+AZ76))-(IF(AND('Your debts'!$F$6&lt;&gt;"",'Your debts'!$F$13&lt;&gt;"",'Your debts'!$F$6&lt;'Your debts'!$F$13),H76,0)+IF(AND('Your debts'!$F$7&lt;&gt;"",'Your debts'!$F$13&lt;&gt;"",'Your debts'!$F$7&lt;'Your debts'!$F$13),M76,0)+IF(AND('Your debts'!$F$8&lt;&gt;"",'Your debts'!$F$13&lt;&gt;"",'Your debts'!$F$8&lt;'Your debts'!$F$13),R76,0)+IF(AND('Your debts'!$F$9&lt;&gt;"",'Your debts'!$F$13&lt;&gt;"",'Your debts'!$F$9&lt;'Your debts'!$F$13),W76,0)+IF(AND('Your debts'!$F$10&lt;&gt;"",'Your debts'!$F$13&lt;&gt;"",'Your debts'!$F$10&lt;'Your debts'!$F$13),AB76,0)+IF(AND('Your debts'!$F$11&lt;&gt;"",'Your debts'!$F$13&lt;&gt;"",'Your debts'!$F$11&lt;'Your debts'!$F$13),AG76,0)+IF(AND('Your debts'!$F$12&lt;&gt;"",'Your debts'!$F$13&lt;&gt;"",'Your debts'!$F$12&lt;'Your debts'!$F$13),AL76,0)+IF(AND('Your debts'!$F$14&lt;&gt;"",'Your debts'!$F$13&lt;&gt;"",'Your debts'!$F$14&lt;'Your debts'!$F$13),AV76,0)+IF(AND('Your debts'!$F$15&lt;&gt;"",'Your debts'!$F$13&lt;&gt;"",'Your debts'!$F$15&lt;'Your debts'!$F$13),BA76,0)))))</f>
        <v/>
      </c>
      <c r="AS76" s="33">
        <f>AQ76-AR76</f>
        <v/>
      </c>
      <c r="AT76" s="33">
        <f>IF(AX75&lt;=0,0,ROUND(AX75*(1+'Your debts'!$D$14/1200),2))</f>
        <v/>
      </c>
      <c r="AU76" s="33">
        <f>IF(AT76&lt;=0,0,MIN('Your debts'!$E$14,AT76))</f>
        <v/>
      </c>
      <c r="AV76" s="33">
        <f>AT76-AU76</f>
        <v/>
      </c>
      <c r="AW76" s="33">
        <f>IF('Your debts'!$F$14="",0,MIN(AV76,MAX(0,MAX(0,'Your debts'!$C$19-(G76+L76+Q76+V76+AA76+AF76+AK76+AP76+AU76+AZ76))-(IF(AND('Your debts'!$F$6&lt;&gt;"",'Your debts'!$F$14&lt;&gt;"",'Your debts'!$F$6&lt;'Your debts'!$F$14),H76,0)+IF(AND('Your debts'!$F$7&lt;&gt;"",'Your debts'!$F$14&lt;&gt;"",'Your debts'!$F$7&lt;'Your debts'!$F$14),M76,0)+IF(AND('Your debts'!$F$8&lt;&gt;"",'Your debts'!$F$14&lt;&gt;"",'Your debts'!$F$8&lt;'Your debts'!$F$14),R76,0)+IF(AND('Your debts'!$F$9&lt;&gt;"",'Your debts'!$F$14&lt;&gt;"",'Your debts'!$F$9&lt;'Your debts'!$F$14),W76,0)+IF(AND('Your debts'!$F$10&lt;&gt;"",'Your debts'!$F$14&lt;&gt;"",'Your debts'!$F$10&lt;'Your debts'!$F$14),AB76,0)+IF(AND('Your debts'!$F$11&lt;&gt;"",'Your debts'!$F$14&lt;&gt;"",'Your debts'!$F$11&lt;'Your debts'!$F$14),AG76,0)+IF(AND('Your debts'!$F$12&lt;&gt;"",'Your debts'!$F$14&lt;&gt;"",'Your debts'!$F$12&lt;'Your debts'!$F$14),AL76,0)+IF(AND('Your debts'!$F$13&lt;&gt;"",'Your debts'!$F$14&lt;&gt;"",'Your debts'!$F$13&lt;'Your debts'!$F$14),AQ76,0)+IF(AND('Your debts'!$F$15&lt;&gt;"",'Your debts'!$F$14&lt;&gt;"",'Your debts'!$F$15&lt;'Your debts'!$F$14),BA76,0)))))</f>
        <v/>
      </c>
      <c r="AX76" s="33">
        <f>AV76-AW76</f>
        <v/>
      </c>
      <c r="AY76" s="33">
        <f>IF(BC75&lt;=0,0,ROUND(BC75*(1+'Your debts'!$D$15/1200),2))</f>
        <v/>
      </c>
      <c r="AZ76" s="33">
        <f>IF(AY76&lt;=0,0,MIN('Your debts'!$E$15,AY76))</f>
        <v/>
      </c>
      <c r="BA76" s="33">
        <f>AY76-AZ76</f>
        <v/>
      </c>
      <c r="BB76" s="33">
        <f>IF('Your debts'!$F$15="",0,MIN(BA76,MAX(0,MAX(0,'Your debts'!$C$19-(G76+L76+Q76+V76+AA76+AF76+AK76+AP76+AU76+AZ76))-(IF(AND('Your debts'!$F$6&lt;&gt;"",'Your debts'!$F$15&lt;&gt;"",'Your debts'!$F$6&lt;'Your debts'!$F$15),H76,0)+IF(AND('Your debts'!$F$7&lt;&gt;"",'Your debts'!$F$15&lt;&gt;"",'Your debts'!$F$7&lt;'Your debts'!$F$15),M76,0)+IF(AND('Your debts'!$F$8&lt;&gt;"",'Your debts'!$F$15&lt;&gt;"",'Your debts'!$F$8&lt;'Your debts'!$F$15),R76,0)+IF(AND('Your debts'!$F$9&lt;&gt;"",'Your debts'!$F$15&lt;&gt;"",'Your debts'!$F$9&lt;'Your debts'!$F$15),W76,0)+IF(AND('Your debts'!$F$10&lt;&gt;"",'Your debts'!$F$15&lt;&gt;"",'Your debts'!$F$10&lt;'Your debts'!$F$15),AB76,0)+IF(AND('Your debts'!$F$11&lt;&gt;"",'Your debts'!$F$15&lt;&gt;"",'Your debts'!$F$11&lt;'Your debts'!$F$15),AG76,0)+IF(AND('Your debts'!$F$12&lt;&gt;"",'Your debts'!$F$15&lt;&gt;"",'Your debts'!$F$12&lt;'Your debts'!$F$15),AL76,0)+IF(AND('Your debts'!$F$13&lt;&gt;"",'Your debts'!$F$15&lt;&gt;"",'Your debts'!$F$13&lt;'Your debts'!$F$15),AQ76,0)+IF(AND('Your debts'!$F$14&lt;&gt;"",'Your debts'!$F$15&lt;&gt;"",'Your debts'!$F$14&lt;'Your debts'!$F$15),AV76,0)))))</f>
        <v/>
      </c>
      <c r="BC76" s="33">
        <f>BA76-BB76</f>
        <v/>
      </c>
    </row>
    <row r="77">
      <c r="A77" s="30" t="n">
        <v>62</v>
      </c>
      <c r="B77" s="31">
        <f>EDATE($B$15,62)</f>
        <v/>
      </c>
      <c r="C77" s="32">
        <f>IF(J76&lt;=0,0,F77-J76)+IF(O76&lt;=0,0,K77-O76)+IF(T76&lt;=0,0,P77-T76)+IF(Y76&lt;=0,0,U77-Y76)+IF(AD76&lt;=0,0,Z77-AD76)+IF(AI76&lt;=0,0,AE77-AI76)+IF(AN76&lt;=0,0,AJ77-AN76)+IF(AS76&lt;=0,0,AO77-AS76)+IF(AX76&lt;=0,0,AT77-AX76)+IF(BC76&lt;=0,0,AY77-BC76)</f>
        <v/>
      </c>
      <c r="D77" s="32">
        <f>G77+I77+L77+N77+Q77+S77+V77+X77+AA77+AC77+AF77+AH77+AK77+AM77+AP77+AR77+AU77+AW77+AZ77+BB77</f>
        <v/>
      </c>
      <c r="E77" s="32">
        <f>J77+O77+T77+Y77+AD77+AI77+AN77+AS77+AX77+BC77</f>
        <v/>
      </c>
      <c r="F77" s="33">
        <f>IF(J76&lt;=0,0,ROUND(J76*(1+'Your debts'!$D$6/1200),2))</f>
        <v/>
      </c>
      <c r="G77" s="33">
        <f>IF(F77&lt;=0,0,MIN('Your debts'!$E$6,F77))</f>
        <v/>
      </c>
      <c r="H77" s="33">
        <f>F77-G77</f>
        <v/>
      </c>
      <c r="I77" s="33">
        <f>IF('Your debts'!$F$6="",0,MIN(H77,MAX(0,MAX(0,'Your debts'!$C$19-(G77+L77+Q77+V77+AA77+AF77+AK77+AP77+AU77+AZ77))-(IF(AND('Your debts'!$F$7&lt;&gt;"",'Your debts'!$F$6&lt;&gt;"",'Your debts'!$F$7&lt;'Your debts'!$F$6),M77,0)+IF(AND('Your debts'!$F$8&lt;&gt;"",'Your debts'!$F$6&lt;&gt;"",'Your debts'!$F$8&lt;'Your debts'!$F$6),R77,0)+IF(AND('Your debts'!$F$9&lt;&gt;"",'Your debts'!$F$6&lt;&gt;"",'Your debts'!$F$9&lt;'Your debts'!$F$6),W77,0)+IF(AND('Your debts'!$F$10&lt;&gt;"",'Your debts'!$F$6&lt;&gt;"",'Your debts'!$F$10&lt;'Your debts'!$F$6),AB77,0)+IF(AND('Your debts'!$F$11&lt;&gt;"",'Your debts'!$F$6&lt;&gt;"",'Your debts'!$F$11&lt;'Your debts'!$F$6),AG77,0)+IF(AND('Your debts'!$F$12&lt;&gt;"",'Your debts'!$F$6&lt;&gt;"",'Your debts'!$F$12&lt;'Your debts'!$F$6),AL77,0)+IF(AND('Your debts'!$F$13&lt;&gt;"",'Your debts'!$F$6&lt;&gt;"",'Your debts'!$F$13&lt;'Your debts'!$F$6),AQ77,0)+IF(AND('Your debts'!$F$14&lt;&gt;"",'Your debts'!$F$6&lt;&gt;"",'Your debts'!$F$14&lt;'Your debts'!$F$6),AV77,0)+IF(AND('Your debts'!$F$15&lt;&gt;"",'Your debts'!$F$6&lt;&gt;"",'Your debts'!$F$15&lt;'Your debts'!$F$6),BA77,0)))))</f>
        <v/>
      </c>
      <c r="J77" s="33">
        <f>H77-I77</f>
        <v/>
      </c>
      <c r="K77" s="33">
        <f>IF(O76&lt;=0,0,ROUND(O76*(1+'Your debts'!$D$7/1200),2))</f>
        <v/>
      </c>
      <c r="L77" s="33">
        <f>IF(K77&lt;=0,0,MIN('Your debts'!$E$7,K77))</f>
        <v/>
      </c>
      <c r="M77" s="33">
        <f>K77-L77</f>
        <v/>
      </c>
      <c r="N77" s="33">
        <f>IF('Your debts'!$F$7="",0,MIN(M77,MAX(0,MAX(0,'Your debts'!$C$19-(G77+L77+Q77+V77+AA77+AF77+AK77+AP77+AU77+AZ77))-(IF(AND('Your debts'!$F$6&lt;&gt;"",'Your debts'!$F$7&lt;&gt;"",'Your debts'!$F$6&lt;'Your debts'!$F$7),H77,0)+IF(AND('Your debts'!$F$8&lt;&gt;"",'Your debts'!$F$7&lt;&gt;"",'Your debts'!$F$8&lt;'Your debts'!$F$7),R77,0)+IF(AND('Your debts'!$F$9&lt;&gt;"",'Your debts'!$F$7&lt;&gt;"",'Your debts'!$F$9&lt;'Your debts'!$F$7),W77,0)+IF(AND('Your debts'!$F$10&lt;&gt;"",'Your debts'!$F$7&lt;&gt;"",'Your debts'!$F$10&lt;'Your debts'!$F$7),AB77,0)+IF(AND('Your debts'!$F$11&lt;&gt;"",'Your debts'!$F$7&lt;&gt;"",'Your debts'!$F$11&lt;'Your debts'!$F$7),AG77,0)+IF(AND('Your debts'!$F$12&lt;&gt;"",'Your debts'!$F$7&lt;&gt;"",'Your debts'!$F$12&lt;'Your debts'!$F$7),AL77,0)+IF(AND('Your debts'!$F$13&lt;&gt;"",'Your debts'!$F$7&lt;&gt;"",'Your debts'!$F$13&lt;'Your debts'!$F$7),AQ77,0)+IF(AND('Your debts'!$F$14&lt;&gt;"",'Your debts'!$F$7&lt;&gt;"",'Your debts'!$F$14&lt;'Your debts'!$F$7),AV77,0)+IF(AND('Your debts'!$F$15&lt;&gt;"",'Your debts'!$F$7&lt;&gt;"",'Your debts'!$F$15&lt;'Your debts'!$F$7),BA77,0)))))</f>
        <v/>
      </c>
      <c r="O77" s="33">
        <f>M77-N77</f>
        <v/>
      </c>
      <c r="P77" s="33">
        <f>IF(T76&lt;=0,0,ROUND(T76*(1+'Your debts'!$D$8/1200),2))</f>
        <v/>
      </c>
      <c r="Q77" s="33">
        <f>IF(P77&lt;=0,0,MIN('Your debts'!$E$8,P77))</f>
        <v/>
      </c>
      <c r="R77" s="33">
        <f>P77-Q77</f>
        <v/>
      </c>
      <c r="S77" s="33">
        <f>IF('Your debts'!$F$8="",0,MIN(R77,MAX(0,MAX(0,'Your debts'!$C$19-(G77+L77+Q77+V77+AA77+AF77+AK77+AP77+AU77+AZ77))-(IF(AND('Your debts'!$F$6&lt;&gt;"",'Your debts'!$F$8&lt;&gt;"",'Your debts'!$F$6&lt;'Your debts'!$F$8),H77,0)+IF(AND('Your debts'!$F$7&lt;&gt;"",'Your debts'!$F$8&lt;&gt;"",'Your debts'!$F$7&lt;'Your debts'!$F$8),M77,0)+IF(AND('Your debts'!$F$9&lt;&gt;"",'Your debts'!$F$8&lt;&gt;"",'Your debts'!$F$9&lt;'Your debts'!$F$8),W77,0)+IF(AND('Your debts'!$F$10&lt;&gt;"",'Your debts'!$F$8&lt;&gt;"",'Your debts'!$F$10&lt;'Your debts'!$F$8),AB77,0)+IF(AND('Your debts'!$F$11&lt;&gt;"",'Your debts'!$F$8&lt;&gt;"",'Your debts'!$F$11&lt;'Your debts'!$F$8),AG77,0)+IF(AND('Your debts'!$F$12&lt;&gt;"",'Your debts'!$F$8&lt;&gt;"",'Your debts'!$F$12&lt;'Your debts'!$F$8),AL77,0)+IF(AND('Your debts'!$F$13&lt;&gt;"",'Your debts'!$F$8&lt;&gt;"",'Your debts'!$F$13&lt;'Your debts'!$F$8),AQ77,0)+IF(AND('Your debts'!$F$14&lt;&gt;"",'Your debts'!$F$8&lt;&gt;"",'Your debts'!$F$14&lt;'Your debts'!$F$8),AV77,0)+IF(AND('Your debts'!$F$15&lt;&gt;"",'Your debts'!$F$8&lt;&gt;"",'Your debts'!$F$15&lt;'Your debts'!$F$8),BA77,0)))))</f>
        <v/>
      </c>
      <c r="T77" s="33">
        <f>R77-S77</f>
        <v/>
      </c>
      <c r="U77" s="33">
        <f>IF(Y76&lt;=0,0,ROUND(Y76*(1+'Your debts'!$D$9/1200),2))</f>
        <v/>
      </c>
      <c r="V77" s="33">
        <f>IF(U77&lt;=0,0,MIN('Your debts'!$E$9,U77))</f>
        <v/>
      </c>
      <c r="W77" s="33">
        <f>U77-V77</f>
        <v/>
      </c>
      <c r="X77" s="33">
        <f>IF('Your debts'!$F$9="",0,MIN(W77,MAX(0,MAX(0,'Your debts'!$C$19-(G77+L77+Q77+V77+AA77+AF77+AK77+AP77+AU77+AZ77))-(IF(AND('Your debts'!$F$6&lt;&gt;"",'Your debts'!$F$9&lt;&gt;"",'Your debts'!$F$6&lt;'Your debts'!$F$9),H77,0)+IF(AND('Your debts'!$F$7&lt;&gt;"",'Your debts'!$F$9&lt;&gt;"",'Your debts'!$F$7&lt;'Your debts'!$F$9),M77,0)+IF(AND('Your debts'!$F$8&lt;&gt;"",'Your debts'!$F$9&lt;&gt;"",'Your debts'!$F$8&lt;'Your debts'!$F$9),R77,0)+IF(AND('Your debts'!$F$10&lt;&gt;"",'Your debts'!$F$9&lt;&gt;"",'Your debts'!$F$10&lt;'Your debts'!$F$9),AB77,0)+IF(AND('Your debts'!$F$11&lt;&gt;"",'Your debts'!$F$9&lt;&gt;"",'Your debts'!$F$11&lt;'Your debts'!$F$9),AG77,0)+IF(AND('Your debts'!$F$12&lt;&gt;"",'Your debts'!$F$9&lt;&gt;"",'Your debts'!$F$12&lt;'Your debts'!$F$9),AL77,0)+IF(AND('Your debts'!$F$13&lt;&gt;"",'Your debts'!$F$9&lt;&gt;"",'Your debts'!$F$13&lt;'Your debts'!$F$9),AQ77,0)+IF(AND('Your debts'!$F$14&lt;&gt;"",'Your debts'!$F$9&lt;&gt;"",'Your debts'!$F$14&lt;'Your debts'!$F$9),AV77,0)+IF(AND('Your debts'!$F$15&lt;&gt;"",'Your debts'!$F$9&lt;&gt;"",'Your debts'!$F$15&lt;'Your debts'!$F$9),BA77,0)))))</f>
        <v/>
      </c>
      <c r="Y77" s="33">
        <f>W77-X77</f>
        <v/>
      </c>
      <c r="Z77" s="33">
        <f>IF(AD76&lt;=0,0,ROUND(AD76*(1+'Your debts'!$D$10/1200),2))</f>
        <v/>
      </c>
      <c r="AA77" s="33">
        <f>IF(Z77&lt;=0,0,MIN('Your debts'!$E$10,Z77))</f>
        <v/>
      </c>
      <c r="AB77" s="33">
        <f>Z77-AA77</f>
        <v/>
      </c>
      <c r="AC77" s="33">
        <f>IF('Your debts'!$F$10="",0,MIN(AB77,MAX(0,MAX(0,'Your debts'!$C$19-(G77+L77+Q77+V77+AA77+AF77+AK77+AP77+AU77+AZ77))-(IF(AND('Your debts'!$F$6&lt;&gt;"",'Your debts'!$F$10&lt;&gt;"",'Your debts'!$F$6&lt;'Your debts'!$F$10),H77,0)+IF(AND('Your debts'!$F$7&lt;&gt;"",'Your debts'!$F$10&lt;&gt;"",'Your debts'!$F$7&lt;'Your debts'!$F$10),M77,0)+IF(AND('Your debts'!$F$8&lt;&gt;"",'Your debts'!$F$10&lt;&gt;"",'Your debts'!$F$8&lt;'Your debts'!$F$10),R77,0)+IF(AND('Your debts'!$F$9&lt;&gt;"",'Your debts'!$F$10&lt;&gt;"",'Your debts'!$F$9&lt;'Your debts'!$F$10),W77,0)+IF(AND('Your debts'!$F$11&lt;&gt;"",'Your debts'!$F$10&lt;&gt;"",'Your debts'!$F$11&lt;'Your debts'!$F$10),AG77,0)+IF(AND('Your debts'!$F$12&lt;&gt;"",'Your debts'!$F$10&lt;&gt;"",'Your debts'!$F$12&lt;'Your debts'!$F$10),AL77,0)+IF(AND('Your debts'!$F$13&lt;&gt;"",'Your debts'!$F$10&lt;&gt;"",'Your debts'!$F$13&lt;'Your debts'!$F$10),AQ77,0)+IF(AND('Your debts'!$F$14&lt;&gt;"",'Your debts'!$F$10&lt;&gt;"",'Your debts'!$F$14&lt;'Your debts'!$F$10),AV77,0)+IF(AND('Your debts'!$F$15&lt;&gt;"",'Your debts'!$F$10&lt;&gt;"",'Your debts'!$F$15&lt;'Your debts'!$F$10),BA77,0)))))</f>
        <v/>
      </c>
      <c r="AD77" s="33">
        <f>AB77-AC77</f>
        <v/>
      </c>
      <c r="AE77" s="33">
        <f>IF(AI76&lt;=0,0,ROUND(AI76*(1+'Your debts'!$D$11/1200),2))</f>
        <v/>
      </c>
      <c r="AF77" s="33">
        <f>IF(AE77&lt;=0,0,MIN('Your debts'!$E$11,AE77))</f>
        <v/>
      </c>
      <c r="AG77" s="33">
        <f>AE77-AF77</f>
        <v/>
      </c>
      <c r="AH77" s="33">
        <f>IF('Your debts'!$F$11="",0,MIN(AG77,MAX(0,MAX(0,'Your debts'!$C$19-(G77+L77+Q77+V77+AA77+AF77+AK77+AP77+AU77+AZ77))-(IF(AND('Your debts'!$F$6&lt;&gt;"",'Your debts'!$F$11&lt;&gt;"",'Your debts'!$F$6&lt;'Your debts'!$F$11),H77,0)+IF(AND('Your debts'!$F$7&lt;&gt;"",'Your debts'!$F$11&lt;&gt;"",'Your debts'!$F$7&lt;'Your debts'!$F$11),M77,0)+IF(AND('Your debts'!$F$8&lt;&gt;"",'Your debts'!$F$11&lt;&gt;"",'Your debts'!$F$8&lt;'Your debts'!$F$11),R77,0)+IF(AND('Your debts'!$F$9&lt;&gt;"",'Your debts'!$F$11&lt;&gt;"",'Your debts'!$F$9&lt;'Your debts'!$F$11),W77,0)+IF(AND('Your debts'!$F$10&lt;&gt;"",'Your debts'!$F$11&lt;&gt;"",'Your debts'!$F$10&lt;'Your debts'!$F$11),AB77,0)+IF(AND('Your debts'!$F$12&lt;&gt;"",'Your debts'!$F$11&lt;&gt;"",'Your debts'!$F$12&lt;'Your debts'!$F$11),AL77,0)+IF(AND('Your debts'!$F$13&lt;&gt;"",'Your debts'!$F$11&lt;&gt;"",'Your debts'!$F$13&lt;'Your debts'!$F$11),AQ77,0)+IF(AND('Your debts'!$F$14&lt;&gt;"",'Your debts'!$F$11&lt;&gt;"",'Your debts'!$F$14&lt;'Your debts'!$F$11),AV77,0)+IF(AND('Your debts'!$F$15&lt;&gt;"",'Your debts'!$F$11&lt;&gt;"",'Your debts'!$F$15&lt;'Your debts'!$F$11),BA77,0)))))</f>
        <v/>
      </c>
      <c r="AI77" s="33">
        <f>AG77-AH77</f>
        <v/>
      </c>
      <c r="AJ77" s="33">
        <f>IF(AN76&lt;=0,0,ROUND(AN76*(1+'Your debts'!$D$12/1200),2))</f>
        <v/>
      </c>
      <c r="AK77" s="33">
        <f>IF(AJ77&lt;=0,0,MIN('Your debts'!$E$12,AJ77))</f>
        <v/>
      </c>
      <c r="AL77" s="33">
        <f>AJ77-AK77</f>
        <v/>
      </c>
      <c r="AM77" s="33">
        <f>IF('Your debts'!$F$12="",0,MIN(AL77,MAX(0,MAX(0,'Your debts'!$C$19-(G77+L77+Q77+V77+AA77+AF77+AK77+AP77+AU77+AZ77))-(IF(AND('Your debts'!$F$6&lt;&gt;"",'Your debts'!$F$12&lt;&gt;"",'Your debts'!$F$6&lt;'Your debts'!$F$12),H77,0)+IF(AND('Your debts'!$F$7&lt;&gt;"",'Your debts'!$F$12&lt;&gt;"",'Your debts'!$F$7&lt;'Your debts'!$F$12),M77,0)+IF(AND('Your debts'!$F$8&lt;&gt;"",'Your debts'!$F$12&lt;&gt;"",'Your debts'!$F$8&lt;'Your debts'!$F$12),R77,0)+IF(AND('Your debts'!$F$9&lt;&gt;"",'Your debts'!$F$12&lt;&gt;"",'Your debts'!$F$9&lt;'Your debts'!$F$12),W77,0)+IF(AND('Your debts'!$F$10&lt;&gt;"",'Your debts'!$F$12&lt;&gt;"",'Your debts'!$F$10&lt;'Your debts'!$F$12),AB77,0)+IF(AND('Your debts'!$F$11&lt;&gt;"",'Your debts'!$F$12&lt;&gt;"",'Your debts'!$F$11&lt;'Your debts'!$F$12),AG77,0)+IF(AND('Your debts'!$F$13&lt;&gt;"",'Your debts'!$F$12&lt;&gt;"",'Your debts'!$F$13&lt;'Your debts'!$F$12),AQ77,0)+IF(AND('Your debts'!$F$14&lt;&gt;"",'Your debts'!$F$12&lt;&gt;"",'Your debts'!$F$14&lt;'Your debts'!$F$12),AV77,0)+IF(AND('Your debts'!$F$15&lt;&gt;"",'Your debts'!$F$12&lt;&gt;"",'Your debts'!$F$15&lt;'Your debts'!$F$12),BA77,0)))))</f>
        <v/>
      </c>
      <c r="AN77" s="33">
        <f>AL77-AM77</f>
        <v/>
      </c>
      <c r="AO77" s="33">
        <f>IF(AS76&lt;=0,0,ROUND(AS76*(1+'Your debts'!$D$13/1200),2))</f>
        <v/>
      </c>
      <c r="AP77" s="33">
        <f>IF(AO77&lt;=0,0,MIN('Your debts'!$E$13,AO77))</f>
        <v/>
      </c>
      <c r="AQ77" s="33">
        <f>AO77-AP77</f>
        <v/>
      </c>
      <c r="AR77" s="33">
        <f>IF('Your debts'!$F$13="",0,MIN(AQ77,MAX(0,MAX(0,'Your debts'!$C$19-(G77+L77+Q77+V77+AA77+AF77+AK77+AP77+AU77+AZ77))-(IF(AND('Your debts'!$F$6&lt;&gt;"",'Your debts'!$F$13&lt;&gt;"",'Your debts'!$F$6&lt;'Your debts'!$F$13),H77,0)+IF(AND('Your debts'!$F$7&lt;&gt;"",'Your debts'!$F$13&lt;&gt;"",'Your debts'!$F$7&lt;'Your debts'!$F$13),M77,0)+IF(AND('Your debts'!$F$8&lt;&gt;"",'Your debts'!$F$13&lt;&gt;"",'Your debts'!$F$8&lt;'Your debts'!$F$13),R77,0)+IF(AND('Your debts'!$F$9&lt;&gt;"",'Your debts'!$F$13&lt;&gt;"",'Your debts'!$F$9&lt;'Your debts'!$F$13),W77,0)+IF(AND('Your debts'!$F$10&lt;&gt;"",'Your debts'!$F$13&lt;&gt;"",'Your debts'!$F$10&lt;'Your debts'!$F$13),AB77,0)+IF(AND('Your debts'!$F$11&lt;&gt;"",'Your debts'!$F$13&lt;&gt;"",'Your debts'!$F$11&lt;'Your debts'!$F$13),AG77,0)+IF(AND('Your debts'!$F$12&lt;&gt;"",'Your debts'!$F$13&lt;&gt;"",'Your debts'!$F$12&lt;'Your debts'!$F$13),AL77,0)+IF(AND('Your debts'!$F$14&lt;&gt;"",'Your debts'!$F$13&lt;&gt;"",'Your debts'!$F$14&lt;'Your debts'!$F$13),AV77,0)+IF(AND('Your debts'!$F$15&lt;&gt;"",'Your debts'!$F$13&lt;&gt;"",'Your debts'!$F$15&lt;'Your debts'!$F$13),BA77,0)))))</f>
        <v/>
      </c>
      <c r="AS77" s="33">
        <f>AQ77-AR77</f>
        <v/>
      </c>
      <c r="AT77" s="33">
        <f>IF(AX76&lt;=0,0,ROUND(AX76*(1+'Your debts'!$D$14/1200),2))</f>
        <v/>
      </c>
      <c r="AU77" s="33">
        <f>IF(AT77&lt;=0,0,MIN('Your debts'!$E$14,AT77))</f>
        <v/>
      </c>
      <c r="AV77" s="33">
        <f>AT77-AU77</f>
        <v/>
      </c>
      <c r="AW77" s="33">
        <f>IF('Your debts'!$F$14="",0,MIN(AV77,MAX(0,MAX(0,'Your debts'!$C$19-(G77+L77+Q77+V77+AA77+AF77+AK77+AP77+AU77+AZ77))-(IF(AND('Your debts'!$F$6&lt;&gt;"",'Your debts'!$F$14&lt;&gt;"",'Your debts'!$F$6&lt;'Your debts'!$F$14),H77,0)+IF(AND('Your debts'!$F$7&lt;&gt;"",'Your debts'!$F$14&lt;&gt;"",'Your debts'!$F$7&lt;'Your debts'!$F$14),M77,0)+IF(AND('Your debts'!$F$8&lt;&gt;"",'Your debts'!$F$14&lt;&gt;"",'Your debts'!$F$8&lt;'Your debts'!$F$14),R77,0)+IF(AND('Your debts'!$F$9&lt;&gt;"",'Your debts'!$F$14&lt;&gt;"",'Your debts'!$F$9&lt;'Your debts'!$F$14),W77,0)+IF(AND('Your debts'!$F$10&lt;&gt;"",'Your debts'!$F$14&lt;&gt;"",'Your debts'!$F$10&lt;'Your debts'!$F$14),AB77,0)+IF(AND('Your debts'!$F$11&lt;&gt;"",'Your debts'!$F$14&lt;&gt;"",'Your debts'!$F$11&lt;'Your debts'!$F$14),AG77,0)+IF(AND('Your debts'!$F$12&lt;&gt;"",'Your debts'!$F$14&lt;&gt;"",'Your debts'!$F$12&lt;'Your debts'!$F$14),AL77,0)+IF(AND('Your debts'!$F$13&lt;&gt;"",'Your debts'!$F$14&lt;&gt;"",'Your debts'!$F$13&lt;'Your debts'!$F$14),AQ77,0)+IF(AND('Your debts'!$F$15&lt;&gt;"",'Your debts'!$F$14&lt;&gt;"",'Your debts'!$F$15&lt;'Your debts'!$F$14),BA77,0)))))</f>
        <v/>
      </c>
      <c r="AX77" s="33">
        <f>AV77-AW77</f>
        <v/>
      </c>
      <c r="AY77" s="33">
        <f>IF(BC76&lt;=0,0,ROUND(BC76*(1+'Your debts'!$D$15/1200),2))</f>
        <v/>
      </c>
      <c r="AZ77" s="33">
        <f>IF(AY77&lt;=0,0,MIN('Your debts'!$E$15,AY77))</f>
        <v/>
      </c>
      <c r="BA77" s="33">
        <f>AY77-AZ77</f>
        <v/>
      </c>
      <c r="BB77" s="33">
        <f>IF('Your debts'!$F$15="",0,MIN(BA77,MAX(0,MAX(0,'Your debts'!$C$19-(G77+L77+Q77+V77+AA77+AF77+AK77+AP77+AU77+AZ77))-(IF(AND('Your debts'!$F$6&lt;&gt;"",'Your debts'!$F$15&lt;&gt;"",'Your debts'!$F$6&lt;'Your debts'!$F$15),H77,0)+IF(AND('Your debts'!$F$7&lt;&gt;"",'Your debts'!$F$15&lt;&gt;"",'Your debts'!$F$7&lt;'Your debts'!$F$15),M77,0)+IF(AND('Your debts'!$F$8&lt;&gt;"",'Your debts'!$F$15&lt;&gt;"",'Your debts'!$F$8&lt;'Your debts'!$F$15),R77,0)+IF(AND('Your debts'!$F$9&lt;&gt;"",'Your debts'!$F$15&lt;&gt;"",'Your debts'!$F$9&lt;'Your debts'!$F$15),W77,0)+IF(AND('Your debts'!$F$10&lt;&gt;"",'Your debts'!$F$15&lt;&gt;"",'Your debts'!$F$10&lt;'Your debts'!$F$15),AB77,0)+IF(AND('Your debts'!$F$11&lt;&gt;"",'Your debts'!$F$15&lt;&gt;"",'Your debts'!$F$11&lt;'Your debts'!$F$15),AG77,0)+IF(AND('Your debts'!$F$12&lt;&gt;"",'Your debts'!$F$15&lt;&gt;"",'Your debts'!$F$12&lt;'Your debts'!$F$15),AL77,0)+IF(AND('Your debts'!$F$13&lt;&gt;"",'Your debts'!$F$15&lt;&gt;"",'Your debts'!$F$13&lt;'Your debts'!$F$15),AQ77,0)+IF(AND('Your debts'!$F$14&lt;&gt;"",'Your debts'!$F$15&lt;&gt;"",'Your debts'!$F$14&lt;'Your debts'!$F$15),AV77,0)))))</f>
        <v/>
      </c>
      <c r="BC77" s="33">
        <f>BA77-BB77</f>
        <v/>
      </c>
    </row>
    <row r="78">
      <c r="A78" s="30" t="n">
        <v>63</v>
      </c>
      <c r="B78" s="31">
        <f>EDATE($B$15,63)</f>
        <v/>
      </c>
      <c r="C78" s="32">
        <f>IF(J77&lt;=0,0,F78-J77)+IF(O77&lt;=0,0,K78-O77)+IF(T77&lt;=0,0,P78-T77)+IF(Y77&lt;=0,0,U78-Y77)+IF(AD77&lt;=0,0,Z78-AD77)+IF(AI77&lt;=0,0,AE78-AI77)+IF(AN77&lt;=0,0,AJ78-AN77)+IF(AS77&lt;=0,0,AO78-AS77)+IF(AX77&lt;=0,0,AT78-AX77)+IF(BC77&lt;=0,0,AY78-BC77)</f>
        <v/>
      </c>
      <c r="D78" s="32">
        <f>G78+I78+L78+N78+Q78+S78+V78+X78+AA78+AC78+AF78+AH78+AK78+AM78+AP78+AR78+AU78+AW78+AZ78+BB78</f>
        <v/>
      </c>
      <c r="E78" s="32">
        <f>J78+O78+T78+Y78+AD78+AI78+AN78+AS78+AX78+BC78</f>
        <v/>
      </c>
      <c r="F78" s="33">
        <f>IF(J77&lt;=0,0,ROUND(J77*(1+'Your debts'!$D$6/1200),2))</f>
        <v/>
      </c>
      <c r="G78" s="33">
        <f>IF(F78&lt;=0,0,MIN('Your debts'!$E$6,F78))</f>
        <v/>
      </c>
      <c r="H78" s="33">
        <f>F78-G78</f>
        <v/>
      </c>
      <c r="I78" s="33">
        <f>IF('Your debts'!$F$6="",0,MIN(H78,MAX(0,MAX(0,'Your debts'!$C$19-(G78+L78+Q78+V78+AA78+AF78+AK78+AP78+AU78+AZ78))-(IF(AND('Your debts'!$F$7&lt;&gt;"",'Your debts'!$F$6&lt;&gt;"",'Your debts'!$F$7&lt;'Your debts'!$F$6),M78,0)+IF(AND('Your debts'!$F$8&lt;&gt;"",'Your debts'!$F$6&lt;&gt;"",'Your debts'!$F$8&lt;'Your debts'!$F$6),R78,0)+IF(AND('Your debts'!$F$9&lt;&gt;"",'Your debts'!$F$6&lt;&gt;"",'Your debts'!$F$9&lt;'Your debts'!$F$6),W78,0)+IF(AND('Your debts'!$F$10&lt;&gt;"",'Your debts'!$F$6&lt;&gt;"",'Your debts'!$F$10&lt;'Your debts'!$F$6),AB78,0)+IF(AND('Your debts'!$F$11&lt;&gt;"",'Your debts'!$F$6&lt;&gt;"",'Your debts'!$F$11&lt;'Your debts'!$F$6),AG78,0)+IF(AND('Your debts'!$F$12&lt;&gt;"",'Your debts'!$F$6&lt;&gt;"",'Your debts'!$F$12&lt;'Your debts'!$F$6),AL78,0)+IF(AND('Your debts'!$F$13&lt;&gt;"",'Your debts'!$F$6&lt;&gt;"",'Your debts'!$F$13&lt;'Your debts'!$F$6),AQ78,0)+IF(AND('Your debts'!$F$14&lt;&gt;"",'Your debts'!$F$6&lt;&gt;"",'Your debts'!$F$14&lt;'Your debts'!$F$6),AV78,0)+IF(AND('Your debts'!$F$15&lt;&gt;"",'Your debts'!$F$6&lt;&gt;"",'Your debts'!$F$15&lt;'Your debts'!$F$6),BA78,0)))))</f>
        <v/>
      </c>
      <c r="J78" s="33">
        <f>H78-I78</f>
        <v/>
      </c>
      <c r="K78" s="33">
        <f>IF(O77&lt;=0,0,ROUND(O77*(1+'Your debts'!$D$7/1200),2))</f>
        <v/>
      </c>
      <c r="L78" s="33">
        <f>IF(K78&lt;=0,0,MIN('Your debts'!$E$7,K78))</f>
        <v/>
      </c>
      <c r="M78" s="33">
        <f>K78-L78</f>
        <v/>
      </c>
      <c r="N78" s="33">
        <f>IF('Your debts'!$F$7="",0,MIN(M78,MAX(0,MAX(0,'Your debts'!$C$19-(G78+L78+Q78+V78+AA78+AF78+AK78+AP78+AU78+AZ78))-(IF(AND('Your debts'!$F$6&lt;&gt;"",'Your debts'!$F$7&lt;&gt;"",'Your debts'!$F$6&lt;'Your debts'!$F$7),H78,0)+IF(AND('Your debts'!$F$8&lt;&gt;"",'Your debts'!$F$7&lt;&gt;"",'Your debts'!$F$8&lt;'Your debts'!$F$7),R78,0)+IF(AND('Your debts'!$F$9&lt;&gt;"",'Your debts'!$F$7&lt;&gt;"",'Your debts'!$F$9&lt;'Your debts'!$F$7),W78,0)+IF(AND('Your debts'!$F$10&lt;&gt;"",'Your debts'!$F$7&lt;&gt;"",'Your debts'!$F$10&lt;'Your debts'!$F$7),AB78,0)+IF(AND('Your debts'!$F$11&lt;&gt;"",'Your debts'!$F$7&lt;&gt;"",'Your debts'!$F$11&lt;'Your debts'!$F$7),AG78,0)+IF(AND('Your debts'!$F$12&lt;&gt;"",'Your debts'!$F$7&lt;&gt;"",'Your debts'!$F$12&lt;'Your debts'!$F$7),AL78,0)+IF(AND('Your debts'!$F$13&lt;&gt;"",'Your debts'!$F$7&lt;&gt;"",'Your debts'!$F$13&lt;'Your debts'!$F$7),AQ78,0)+IF(AND('Your debts'!$F$14&lt;&gt;"",'Your debts'!$F$7&lt;&gt;"",'Your debts'!$F$14&lt;'Your debts'!$F$7),AV78,0)+IF(AND('Your debts'!$F$15&lt;&gt;"",'Your debts'!$F$7&lt;&gt;"",'Your debts'!$F$15&lt;'Your debts'!$F$7),BA78,0)))))</f>
        <v/>
      </c>
      <c r="O78" s="33">
        <f>M78-N78</f>
        <v/>
      </c>
      <c r="P78" s="33">
        <f>IF(T77&lt;=0,0,ROUND(T77*(1+'Your debts'!$D$8/1200),2))</f>
        <v/>
      </c>
      <c r="Q78" s="33">
        <f>IF(P78&lt;=0,0,MIN('Your debts'!$E$8,P78))</f>
        <v/>
      </c>
      <c r="R78" s="33">
        <f>P78-Q78</f>
        <v/>
      </c>
      <c r="S78" s="33">
        <f>IF('Your debts'!$F$8="",0,MIN(R78,MAX(0,MAX(0,'Your debts'!$C$19-(G78+L78+Q78+V78+AA78+AF78+AK78+AP78+AU78+AZ78))-(IF(AND('Your debts'!$F$6&lt;&gt;"",'Your debts'!$F$8&lt;&gt;"",'Your debts'!$F$6&lt;'Your debts'!$F$8),H78,0)+IF(AND('Your debts'!$F$7&lt;&gt;"",'Your debts'!$F$8&lt;&gt;"",'Your debts'!$F$7&lt;'Your debts'!$F$8),M78,0)+IF(AND('Your debts'!$F$9&lt;&gt;"",'Your debts'!$F$8&lt;&gt;"",'Your debts'!$F$9&lt;'Your debts'!$F$8),W78,0)+IF(AND('Your debts'!$F$10&lt;&gt;"",'Your debts'!$F$8&lt;&gt;"",'Your debts'!$F$10&lt;'Your debts'!$F$8),AB78,0)+IF(AND('Your debts'!$F$11&lt;&gt;"",'Your debts'!$F$8&lt;&gt;"",'Your debts'!$F$11&lt;'Your debts'!$F$8),AG78,0)+IF(AND('Your debts'!$F$12&lt;&gt;"",'Your debts'!$F$8&lt;&gt;"",'Your debts'!$F$12&lt;'Your debts'!$F$8),AL78,0)+IF(AND('Your debts'!$F$13&lt;&gt;"",'Your debts'!$F$8&lt;&gt;"",'Your debts'!$F$13&lt;'Your debts'!$F$8),AQ78,0)+IF(AND('Your debts'!$F$14&lt;&gt;"",'Your debts'!$F$8&lt;&gt;"",'Your debts'!$F$14&lt;'Your debts'!$F$8),AV78,0)+IF(AND('Your debts'!$F$15&lt;&gt;"",'Your debts'!$F$8&lt;&gt;"",'Your debts'!$F$15&lt;'Your debts'!$F$8),BA78,0)))))</f>
        <v/>
      </c>
      <c r="T78" s="33">
        <f>R78-S78</f>
        <v/>
      </c>
      <c r="U78" s="33">
        <f>IF(Y77&lt;=0,0,ROUND(Y77*(1+'Your debts'!$D$9/1200),2))</f>
        <v/>
      </c>
      <c r="V78" s="33">
        <f>IF(U78&lt;=0,0,MIN('Your debts'!$E$9,U78))</f>
        <v/>
      </c>
      <c r="W78" s="33">
        <f>U78-V78</f>
        <v/>
      </c>
      <c r="X78" s="33">
        <f>IF('Your debts'!$F$9="",0,MIN(W78,MAX(0,MAX(0,'Your debts'!$C$19-(G78+L78+Q78+V78+AA78+AF78+AK78+AP78+AU78+AZ78))-(IF(AND('Your debts'!$F$6&lt;&gt;"",'Your debts'!$F$9&lt;&gt;"",'Your debts'!$F$6&lt;'Your debts'!$F$9),H78,0)+IF(AND('Your debts'!$F$7&lt;&gt;"",'Your debts'!$F$9&lt;&gt;"",'Your debts'!$F$7&lt;'Your debts'!$F$9),M78,0)+IF(AND('Your debts'!$F$8&lt;&gt;"",'Your debts'!$F$9&lt;&gt;"",'Your debts'!$F$8&lt;'Your debts'!$F$9),R78,0)+IF(AND('Your debts'!$F$10&lt;&gt;"",'Your debts'!$F$9&lt;&gt;"",'Your debts'!$F$10&lt;'Your debts'!$F$9),AB78,0)+IF(AND('Your debts'!$F$11&lt;&gt;"",'Your debts'!$F$9&lt;&gt;"",'Your debts'!$F$11&lt;'Your debts'!$F$9),AG78,0)+IF(AND('Your debts'!$F$12&lt;&gt;"",'Your debts'!$F$9&lt;&gt;"",'Your debts'!$F$12&lt;'Your debts'!$F$9),AL78,0)+IF(AND('Your debts'!$F$13&lt;&gt;"",'Your debts'!$F$9&lt;&gt;"",'Your debts'!$F$13&lt;'Your debts'!$F$9),AQ78,0)+IF(AND('Your debts'!$F$14&lt;&gt;"",'Your debts'!$F$9&lt;&gt;"",'Your debts'!$F$14&lt;'Your debts'!$F$9),AV78,0)+IF(AND('Your debts'!$F$15&lt;&gt;"",'Your debts'!$F$9&lt;&gt;"",'Your debts'!$F$15&lt;'Your debts'!$F$9),BA78,0)))))</f>
        <v/>
      </c>
      <c r="Y78" s="33">
        <f>W78-X78</f>
        <v/>
      </c>
      <c r="Z78" s="33">
        <f>IF(AD77&lt;=0,0,ROUND(AD77*(1+'Your debts'!$D$10/1200),2))</f>
        <v/>
      </c>
      <c r="AA78" s="33">
        <f>IF(Z78&lt;=0,0,MIN('Your debts'!$E$10,Z78))</f>
        <v/>
      </c>
      <c r="AB78" s="33">
        <f>Z78-AA78</f>
        <v/>
      </c>
      <c r="AC78" s="33">
        <f>IF('Your debts'!$F$10="",0,MIN(AB78,MAX(0,MAX(0,'Your debts'!$C$19-(G78+L78+Q78+V78+AA78+AF78+AK78+AP78+AU78+AZ78))-(IF(AND('Your debts'!$F$6&lt;&gt;"",'Your debts'!$F$10&lt;&gt;"",'Your debts'!$F$6&lt;'Your debts'!$F$10),H78,0)+IF(AND('Your debts'!$F$7&lt;&gt;"",'Your debts'!$F$10&lt;&gt;"",'Your debts'!$F$7&lt;'Your debts'!$F$10),M78,0)+IF(AND('Your debts'!$F$8&lt;&gt;"",'Your debts'!$F$10&lt;&gt;"",'Your debts'!$F$8&lt;'Your debts'!$F$10),R78,0)+IF(AND('Your debts'!$F$9&lt;&gt;"",'Your debts'!$F$10&lt;&gt;"",'Your debts'!$F$9&lt;'Your debts'!$F$10),W78,0)+IF(AND('Your debts'!$F$11&lt;&gt;"",'Your debts'!$F$10&lt;&gt;"",'Your debts'!$F$11&lt;'Your debts'!$F$10),AG78,0)+IF(AND('Your debts'!$F$12&lt;&gt;"",'Your debts'!$F$10&lt;&gt;"",'Your debts'!$F$12&lt;'Your debts'!$F$10),AL78,0)+IF(AND('Your debts'!$F$13&lt;&gt;"",'Your debts'!$F$10&lt;&gt;"",'Your debts'!$F$13&lt;'Your debts'!$F$10),AQ78,0)+IF(AND('Your debts'!$F$14&lt;&gt;"",'Your debts'!$F$10&lt;&gt;"",'Your debts'!$F$14&lt;'Your debts'!$F$10),AV78,0)+IF(AND('Your debts'!$F$15&lt;&gt;"",'Your debts'!$F$10&lt;&gt;"",'Your debts'!$F$15&lt;'Your debts'!$F$10),BA78,0)))))</f>
        <v/>
      </c>
      <c r="AD78" s="33">
        <f>AB78-AC78</f>
        <v/>
      </c>
      <c r="AE78" s="33">
        <f>IF(AI77&lt;=0,0,ROUND(AI77*(1+'Your debts'!$D$11/1200),2))</f>
        <v/>
      </c>
      <c r="AF78" s="33">
        <f>IF(AE78&lt;=0,0,MIN('Your debts'!$E$11,AE78))</f>
        <v/>
      </c>
      <c r="AG78" s="33">
        <f>AE78-AF78</f>
        <v/>
      </c>
      <c r="AH78" s="33">
        <f>IF('Your debts'!$F$11="",0,MIN(AG78,MAX(0,MAX(0,'Your debts'!$C$19-(G78+L78+Q78+V78+AA78+AF78+AK78+AP78+AU78+AZ78))-(IF(AND('Your debts'!$F$6&lt;&gt;"",'Your debts'!$F$11&lt;&gt;"",'Your debts'!$F$6&lt;'Your debts'!$F$11),H78,0)+IF(AND('Your debts'!$F$7&lt;&gt;"",'Your debts'!$F$11&lt;&gt;"",'Your debts'!$F$7&lt;'Your debts'!$F$11),M78,0)+IF(AND('Your debts'!$F$8&lt;&gt;"",'Your debts'!$F$11&lt;&gt;"",'Your debts'!$F$8&lt;'Your debts'!$F$11),R78,0)+IF(AND('Your debts'!$F$9&lt;&gt;"",'Your debts'!$F$11&lt;&gt;"",'Your debts'!$F$9&lt;'Your debts'!$F$11),W78,0)+IF(AND('Your debts'!$F$10&lt;&gt;"",'Your debts'!$F$11&lt;&gt;"",'Your debts'!$F$10&lt;'Your debts'!$F$11),AB78,0)+IF(AND('Your debts'!$F$12&lt;&gt;"",'Your debts'!$F$11&lt;&gt;"",'Your debts'!$F$12&lt;'Your debts'!$F$11),AL78,0)+IF(AND('Your debts'!$F$13&lt;&gt;"",'Your debts'!$F$11&lt;&gt;"",'Your debts'!$F$13&lt;'Your debts'!$F$11),AQ78,0)+IF(AND('Your debts'!$F$14&lt;&gt;"",'Your debts'!$F$11&lt;&gt;"",'Your debts'!$F$14&lt;'Your debts'!$F$11),AV78,0)+IF(AND('Your debts'!$F$15&lt;&gt;"",'Your debts'!$F$11&lt;&gt;"",'Your debts'!$F$15&lt;'Your debts'!$F$11),BA78,0)))))</f>
        <v/>
      </c>
      <c r="AI78" s="33">
        <f>AG78-AH78</f>
        <v/>
      </c>
      <c r="AJ78" s="33">
        <f>IF(AN77&lt;=0,0,ROUND(AN77*(1+'Your debts'!$D$12/1200),2))</f>
        <v/>
      </c>
      <c r="AK78" s="33">
        <f>IF(AJ78&lt;=0,0,MIN('Your debts'!$E$12,AJ78))</f>
        <v/>
      </c>
      <c r="AL78" s="33">
        <f>AJ78-AK78</f>
        <v/>
      </c>
      <c r="AM78" s="33">
        <f>IF('Your debts'!$F$12="",0,MIN(AL78,MAX(0,MAX(0,'Your debts'!$C$19-(G78+L78+Q78+V78+AA78+AF78+AK78+AP78+AU78+AZ78))-(IF(AND('Your debts'!$F$6&lt;&gt;"",'Your debts'!$F$12&lt;&gt;"",'Your debts'!$F$6&lt;'Your debts'!$F$12),H78,0)+IF(AND('Your debts'!$F$7&lt;&gt;"",'Your debts'!$F$12&lt;&gt;"",'Your debts'!$F$7&lt;'Your debts'!$F$12),M78,0)+IF(AND('Your debts'!$F$8&lt;&gt;"",'Your debts'!$F$12&lt;&gt;"",'Your debts'!$F$8&lt;'Your debts'!$F$12),R78,0)+IF(AND('Your debts'!$F$9&lt;&gt;"",'Your debts'!$F$12&lt;&gt;"",'Your debts'!$F$9&lt;'Your debts'!$F$12),W78,0)+IF(AND('Your debts'!$F$10&lt;&gt;"",'Your debts'!$F$12&lt;&gt;"",'Your debts'!$F$10&lt;'Your debts'!$F$12),AB78,0)+IF(AND('Your debts'!$F$11&lt;&gt;"",'Your debts'!$F$12&lt;&gt;"",'Your debts'!$F$11&lt;'Your debts'!$F$12),AG78,0)+IF(AND('Your debts'!$F$13&lt;&gt;"",'Your debts'!$F$12&lt;&gt;"",'Your debts'!$F$13&lt;'Your debts'!$F$12),AQ78,0)+IF(AND('Your debts'!$F$14&lt;&gt;"",'Your debts'!$F$12&lt;&gt;"",'Your debts'!$F$14&lt;'Your debts'!$F$12),AV78,0)+IF(AND('Your debts'!$F$15&lt;&gt;"",'Your debts'!$F$12&lt;&gt;"",'Your debts'!$F$15&lt;'Your debts'!$F$12),BA78,0)))))</f>
        <v/>
      </c>
      <c r="AN78" s="33">
        <f>AL78-AM78</f>
        <v/>
      </c>
      <c r="AO78" s="33">
        <f>IF(AS77&lt;=0,0,ROUND(AS77*(1+'Your debts'!$D$13/1200),2))</f>
        <v/>
      </c>
      <c r="AP78" s="33">
        <f>IF(AO78&lt;=0,0,MIN('Your debts'!$E$13,AO78))</f>
        <v/>
      </c>
      <c r="AQ78" s="33">
        <f>AO78-AP78</f>
        <v/>
      </c>
      <c r="AR78" s="33">
        <f>IF('Your debts'!$F$13="",0,MIN(AQ78,MAX(0,MAX(0,'Your debts'!$C$19-(G78+L78+Q78+V78+AA78+AF78+AK78+AP78+AU78+AZ78))-(IF(AND('Your debts'!$F$6&lt;&gt;"",'Your debts'!$F$13&lt;&gt;"",'Your debts'!$F$6&lt;'Your debts'!$F$13),H78,0)+IF(AND('Your debts'!$F$7&lt;&gt;"",'Your debts'!$F$13&lt;&gt;"",'Your debts'!$F$7&lt;'Your debts'!$F$13),M78,0)+IF(AND('Your debts'!$F$8&lt;&gt;"",'Your debts'!$F$13&lt;&gt;"",'Your debts'!$F$8&lt;'Your debts'!$F$13),R78,0)+IF(AND('Your debts'!$F$9&lt;&gt;"",'Your debts'!$F$13&lt;&gt;"",'Your debts'!$F$9&lt;'Your debts'!$F$13),W78,0)+IF(AND('Your debts'!$F$10&lt;&gt;"",'Your debts'!$F$13&lt;&gt;"",'Your debts'!$F$10&lt;'Your debts'!$F$13),AB78,0)+IF(AND('Your debts'!$F$11&lt;&gt;"",'Your debts'!$F$13&lt;&gt;"",'Your debts'!$F$11&lt;'Your debts'!$F$13),AG78,0)+IF(AND('Your debts'!$F$12&lt;&gt;"",'Your debts'!$F$13&lt;&gt;"",'Your debts'!$F$12&lt;'Your debts'!$F$13),AL78,0)+IF(AND('Your debts'!$F$14&lt;&gt;"",'Your debts'!$F$13&lt;&gt;"",'Your debts'!$F$14&lt;'Your debts'!$F$13),AV78,0)+IF(AND('Your debts'!$F$15&lt;&gt;"",'Your debts'!$F$13&lt;&gt;"",'Your debts'!$F$15&lt;'Your debts'!$F$13),BA78,0)))))</f>
        <v/>
      </c>
      <c r="AS78" s="33">
        <f>AQ78-AR78</f>
        <v/>
      </c>
      <c r="AT78" s="33">
        <f>IF(AX77&lt;=0,0,ROUND(AX77*(1+'Your debts'!$D$14/1200),2))</f>
        <v/>
      </c>
      <c r="AU78" s="33">
        <f>IF(AT78&lt;=0,0,MIN('Your debts'!$E$14,AT78))</f>
        <v/>
      </c>
      <c r="AV78" s="33">
        <f>AT78-AU78</f>
        <v/>
      </c>
      <c r="AW78" s="33">
        <f>IF('Your debts'!$F$14="",0,MIN(AV78,MAX(0,MAX(0,'Your debts'!$C$19-(G78+L78+Q78+V78+AA78+AF78+AK78+AP78+AU78+AZ78))-(IF(AND('Your debts'!$F$6&lt;&gt;"",'Your debts'!$F$14&lt;&gt;"",'Your debts'!$F$6&lt;'Your debts'!$F$14),H78,0)+IF(AND('Your debts'!$F$7&lt;&gt;"",'Your debts'!$F$14&lt;&gt;"",'Your debts'!$F$7&lt;'Your debts'!$F$14),M78,0)+IF(AND('Your debts'!$F$8&lt;&gt;"",'Your debts'!$F$14&lt;&gt;"",'Your debts'!$F$8&lt;'Your debts'!$F$14),R78,0)+IF(AND('Your debts'!$F$9&lt;&gt;"",'Your debts'!$F$14&lt;&gt;"",'Your debts'!$F$9&lt;'Your debts'!$F$14),W78,0)+IF(AND('Your debts'!$F$10&lt;&gt;"",'Your debts'!$F$14&lt;&gt;"",'Your debts'!$F$10&lt;'Your debts'!$F$14),AB78,0)+IF(AND('Your debts'!$F$11&lt;&gt;"",'Your debts'!$F$14&lt;&gt;"",'Your debts'!$F$11&lt;'Your debts'!$F$14),AG78,0)+IF(AND('Your debts'!$F$12&lt;&gt;"",'Your debts'!$F$14&lt;&gt;"",'Your debts'!$F$12&lt;'Your debts'!$F$14),AL78,0)+IF(AND('Your debts'!$F$13&lt;&gt;"",'Your debts'!$F$14&lt;&gt;"",'Your debts'!$F$13&lt;'Your debts'!$F$14),AQ78,0)+IF(AND('Your debts'!$F$15&lt;&gt;"",'Your debts'!$F$14&lt;&gt;"",'Your debts'!$F$15&lt;'Your debts'!$F$14),BA78,0)))))</f>
        <v/>
      </c>
      <c r="AX78" s="33">
        <f>AV78-AW78</f>
        <v/>
      </c>
      <c r="AY78" s="33">
        <f>IF(BC77&lt;=0,0,ROUND(BC77*(1+'Your debts'!$D$15/1200),2))</f>
        <v/>
      </c>
      <c r="AZ78" s="33">
        <f>IF(AY78&lt;=0,0,MIN('Your debts'!$E$15,AY78))</f>
        <v/>
      </c>
      <c r="BA78" s="33">
        <f>AY78-AZ78</f>
        <v/>
      </c>
      <c r="BB78" s="33">
        <f>IF('Your debts'!$F$15="",0,MIN(BA78,MAX(0,MAX(0,'Your debts'!$C$19-(G78+L78+Q78+V78+AA78+AF78+AK78+AP78+AU78+AZ78))-(IF(AND('Your debts'!$F$6&lt;&gt;"",'Your debts'!$F$15&lt;&gt;"",'Your debts'!$F$6&lt;'Your debts'!$F$15),H78,0)+IF(AND('Your debts'!$F$7&lt;&gt;"",'Your debts'!$F$15&lt;&gt;"",'Your debts'!$F$7&lt;'Your debts'!$F$15),M78,0)+IF(AND('Your debts'!$F$8&lt;&gt;"",'Your debts'!$F$15&lt;&gt;"",'Your debts'!$F$8&lt;'Your debts'!$F$15),R78,0)+IF(AND('Your debts'!$F$9&lt;&gt;"",'Your debts'!$F$15&lt;&gt;"",'Your debts'!$F$9&lt;'Your debts'!$F$15),W78,0)+IF(AND('Your debts'!$F$10&lt;&gt;"",'Your debts'!$F$15&lt;&gt;"",'Your debts'!$F$10&lt;'Your debts'!$F$15),AB78,0)+IF(AND('Your debts'!$F$11&lt;&gt;"",'Your debts'!$F$15&lt;&gt;"",'Your debts'!$F$11&lt;'Your debts'!$F$15),AG78,0)+IF(AND('Your debts'!$F$12&lt;&gt;"",'Your debts'!$F$15&lt;&gt;"",'Your debts'!$F$12&lt;'Your debts'!$F$15),AL78,0)+IF(AND('Your debts'!$F$13&lt;&gt;"",'Your debts'!$F$15&lt;&gt;"",'Your debts'!$F$13&lt;'Your debts'!$F$15),AQ78,0)+IF(AND('Your debts'!$F$14&lt;&gt;"",'Your debts'!$F$15&lt;&gt;"",'Your debts'!$F$14&lt;'Your debts'!$F$15),AV78,0)))))</f>
        <v/>
      </c>
      <c r="BC78" s="33">
        <f>BA78-BB78</f>
        <v/>
      </c>
    </row>
    <row r="79">
      <c r="A79" s="30" t="n">
        <v>64</v>
      </c>
      <c r="B79" s="31">
        <f>EDATE($B$15,64)</f>
        <v/>
      </c>
      <c r="C79" s="32">
        <f>IF(J78&lt;=0,0,F79-J78)+IF(O78&lt;=0,0,K79-O78)+IF(T78&lt;=0,0,P79-T78)+IF(Y78&lt;=0,0,U79-Y78)+IF(AD78&lt;=0,0,Z79-AD78)+IF(AI78&lt;=0,0,AE79-AI78)+IF(AN78&lt;=0,0,AJ79-AN78)+IF(AS78&lt;=0,0,AO79-AS78)+IF(AX78&lt;=0,0,AT79-AX78)+IF(BC78&lt;=0,0,AY79-BC78)</f>
        <v/>
      </c>
      <c r="D79" s="32">
        <f>G79+I79+L79+N79+Q79+S79+V79+X79+AA79+AC79+AF79+AH79+AK79+AM79+AP79+AR79+AU79+AW79+AZ79+BB79</f>
        <v/>
      </c>
      <c r="E79" s="32">
        <f>J79+O79+T79+Y79+AD79+AI79+AN79+AS79+AX79+BC79</f>
        <v/>
      </c>
      <c r="F79" s="33">
        <f>IF(J78&lt;=0,0,ROUND(J78*(1+'Your debts'!$D$6/1200),2))</f>
        <v/>
      </c>
      <c r="G79" s="33">
        <f>IF(F79&lt;=0,0,MIN('Your debts'!$E$6,F79))</f>
        <v/>
      </c>
      <c r="H79" s="33">
        <f>F79-G79</f>
        <v/>
      </c>
      <c r="I79" s="33">
        <f>IF('Your debts'!$F$6="",0,MIN(H79,MAX(0,MAX(0,'Your debts'!$C$19-(G79+L79+Q79+V79+AA79+AF79+AK79+AP79+AU79+AZ79))-(IF(AND('Your debts'!$F$7&lt;&gt;"",'Your debts'!$F$6&lt;&gt;"",'Your debts'!$F$7&lt;'Your debts'!$F$6),M79,0)+IF(AND('Your debts'!$F$8&lt;&gt;"",'Your debts'!$F$6&lt;&gt;"",'Your debts'!$F$8&lt;'Your debts'!$F$6),R79,0)+IF(AND('Your debts'!$F$9&lt;&gt;"",'Your debts'!$F$6&lt;&gt;"",'Your debts'!$F$9&lt;'Your debts'!$F$6),W79,0)+IF(AND('Your debts'!$F$10&lt;&gt;"",'Your debts'!$F$6&lt;&gt;"",'Your debts'!$F$10&lt;'Your debts'!$F$6),AB79,0)+IF(AND('Your debts'!$F$11&lt;&gt;"",'Your debts'!$F$6&lt;&gt;"",'Your debts'!$F$11&lt;'Your debts'!$F$6),AG79,0)+IF(AND('Your debts'!$F$12&lt;&gt;"",'Your debts'!$F$6&lt;&gt;"",'Your debts'!$F$12&lt;'Your debts'!$F$6),AL79,0)+IF(AND('Your debts'!$F$13&lt;&gt;"",'Your debts'!$F$6&lt;&gt;"",'Your debts'!$F$13&lt;'Your debts'!$F$6),AQ79,0)+IF(AND('Your debts'!$F$14&lt;&gt;"",'Your debts'!$F$6&lt;&gt;"",'Your debts'!$F$14&lt;'Your debts'!$F$6),AV79,0)+IF(AND('Your debts'!$F$15&lt;&gt;"",'Your debts'!$F$6&lt;&gt;"",'Your debts'!$F$15&lt;'Your debts'!$F$6),BA79,0)))))</f>
        <v/>
      </c>
      <c r="J79" s="33">
        <f>H79-I79</f>
        <v/>
      </c>
      <c r="K79" s="33">
        <f>IF(O78&lt;=0,0,ROUND(O78*(1+'Your debts'!$D$7/1200),2))</f>
        <v/>
      </c>
      <c r="L79" s="33">
        <f>IF(K79&lt;=0,0,MIN('Your debts'!$E$7,K79))</f>
        <v/>
      </c>
      <c r="M79" s="33">
        <f>K79-L79</f>
        <v/>
      </c>
      <c r="N79" s="33">
        <f>IF('Your debts'!$F$7="",0,MIN(M79,MAX(0,MAX(0,'Your debts'!$C$19-(G79+L79+Q79+V79+AA79+AF79+AK79+AP79+AU79+AZ79))-(IF(AND('Your debts'!$F$6&lt;&gt;"",'Your debts'!$F$7&lt;&gt;"",'Your debts'!$F$6&lt;'Your debts'!$F$7),H79,0)+IF(AND('Your debts'!$F$8&lt;&gt;"",'Your debts'!$F$7&lt;&gt;"",'Your debts'!$F$8&lt;'Your debts'!$F$7),R79,0)+IF(AND('Your debts'!$F$9&lt;&gt;"",'Your debts'!$F$7&lt;&gt;"",'Your debts'!$F$9&lt;'Your debts'!$F$7),W79,0)+IF(AND('Your debts'!$F$10&lt;&gt;"",'Your debts'!$F$7&lt;&gt;"",'Your debts'!$F$10&lt;'Your debts'!$F$7),AB79,0)+IF(AND('Your debts'!$F$11&lt;&gt;"",'Your debts'!$F$7&lt;&gt;"",'Your debts'!$F$11&lt;'Your debts'!$F$7),AG79,0)+IF(AND('Your debts'!$F$12&lt;&gt;"",'Your debts'!$F$7&lt;&gt;"",'Your debts'!$F$12&lt;'Your debts'!$F$7),AL79,0)+IF(AND('Your debts'!$F$13&lt;&gt;"",'Your debts'!$F$7&lt;&gt;"",'Your debts'!$F$13&lt;'Your debts'!$F$7),AQ79,0)+IF(AND('Your debts'!$F$14&lt;&gt;"",'Your debts'!$F$7&lt;&gt;"",'Your debts'!$F$14&lt;'Your debts'!$F$7),AV79,0)+IF(AND('Your debts'!$F$15&lt;&gt;"",'Your debts'!$F$7&lt;&gt;"",'Your debts'!$F$15&lt;'Your debts'!$F$7),BA79,0)))))</f>
        <v/>
      </c>
      <c r="O79" s="33">
        <f>M79-N79</f>
        <v/>
      </c>
      <c r="P79" s="33">
        <f>IF(T78&lt;=0,0,ROUND(T78*(1+'Your debts'!$D$8/1200),2))</f>
        <v/>
      </c>
      <c r="Q79" s="33">
        <f>IF(P79&lt;=0,0,MIN('Your debts'!$E$8,P79))</f>
        <v/>
      </c>
      <c r="R79" s="33">
        <f>P79-Q79</f>
        <v/>
      </c>
      <c r="S79" s="33">
        <f>IF('Your debts'!$F$8="",0,MIN(R79,MAX(0,MAX(0,'Your debts'!$C$19-(G79+L79+Q79+V79+AA79+AF79+AK79+AP79+AU79+AZ79))-(IF(AND('Your debts'!$F$6&lt;&gt;"",'Your debts'!$F$8&lt;&gt;"",'Your debts'!$F$6&lt;'Your debts'!$F$8),H79,0)+IF(AND('Your debts'!$F$7&lt;&gt;"",'Your debts'!$F$8&lt;&gt;"",'Your debts'!$F$7&lt;'Your debts'!$F$8),M79,0)+IF(AND('Your debts'!$F$9&lt;&gt;"",'Your debts'!$F$8&lt;&gt;"",'Your debts'!$F$9&lt;'Your debts'!$F$8),W79,0)+IF(AND('Your debts'!$F$10&lt;&gt;"",'Your debts'!$F$8&lt;&gt;"",'Your debts'!$F$10&lt;'Your debts'!$F$8),AB79,0)+IF(AND('Your debts'!$F$11&lt;&gt;"",'Your debts'!$F$8&lt;&gt;"",'Your debts'!$F$11&lt;'Your debts'!$F$8),AG79,0)+IF(AND('Your debts'!$F$12&lt;&gt;"",'Your debts'!$F$8&lt;&gt;"",'Your debts'!$F$12&lt;'Your debts'!$F$8),AL79,0)+IF(AND('Your debts'!$F$13&lt;&gt;"",'Your debts'!$F$8&lt;&gt;"",'Your debts'!$F$13&lt;'Your debts'!$F$8),AQ79,0)+IF(AND('Your debts'!$F$14&lt;&gt;"",'Your debts'!$F$8&lt;&gt;"",'Your debts'!$F$14&lt;'Your debts'!$F$8),AV79,0)+IF(AND('Your debts'!$F$15&lt;&gt;"",'Your debts'!$F$8&lt;&gt;"",'Your debts'!$F$15&lt;'Your debts'!$F$8),BA79,0)))))</f>
        <v/>
      </c>
      <c r="T79" s="33">
        <f>R79-S79</f>
        <v/>
      </c>
      <c r="U79" s="33">
        <f>IF(Y78&lt;=0,0,ROUND(Y78*(1+'Your debts'!$D$9/1200),2))</f>
        <v/>
      </c>
      <c r="V79" s="33">
        <f>IF(U79&lt;=0,0,MIN('Your debts'!$E$9,U79))</f>
        <v/>
      </c>
      <c r="W79" s="33">
        <f>U79-V79</f>
        <v/>
      </c>
      <c r="X79" s="33">
        <f>IF('Your debts'!$F$9="",0,MIN(W79,MAX(0,MAX(0,'Your debts'!$C$19-(G79+L79+Q79+V79+AA79+AF79+AK79+AP79+AU79+AZ79))-(IF(AND('Your debts'!$F$6&lt;&gt;"",'Your debts'!$F$9&lt;&gt;"",'Your debts'!$F$6&lt;'Your debts'!$F$9),H79,0)+IF(AND('Your debts'!$F$7&lt;&gt;"",'Your debts'!$F$9&lt;&gt;"",'Your debts'!$F$7&lt;'Your debts'!$F$9),M79,0)+IF(AND('Your debts'!$F$8&lt;&gt;"",'Your debts'!$F$9&lt;&gt;"",'Your debts'!$F$8&lt;'Your debts'!$F$9),R79,0)+IF(AND('Your debts'!$F$10&lt;&gt;"",'Your debts'!$F$9&lt;&gt;"",'Your debts'!$F$10&lt;'Your debts'!$F$9),AB79,0)+IF(AND('Your debts'!$F$11&lt;&gt;"",'Your debts'!$F$9&lt;&gt;"",'Your debts'!$F$11&lt;'Your debts'!$F$9),AG79,0)+IF(AND('Your debts'!$F$12&lt;&gt;"",'Your debts'!$F$9&lt;&gt;"",'Your debts'!$F$12&lt;'Your debts'!$F$9),AL79,0)+IF(AND('Your debts'!$F$13&lt;&gt;"",'Your debts'!$F$9&lt;&gt;"",'Your debts'!$F$13&lt;'Your debts'!$F$9),AQ79,0)+IF(AND('Your debts'!$F$14&lt;&gt;"",'Your debts'!$F$9&lt;&gt;"",'Your debts'!$F$14&lt;'Your debts'!$F$9),AV79,0)+IF(AND('Your debts'!$F$15&lt;&gt;"",'Your debts'!$F$9&lt;&gt;"",'Your debts'!$F$15&lt;'Your debts'!$F$9),BA79,0)))))</f>
        <v/>
      </c>
      <c r="Y79" s="33">
        <f>W79-X79</f>
        <v/>
      </c>
      <c r="Z79" s="33">
        <f>IF(AD78&lt;=0,0,ROUND(AD78*(1+'Your debts'!$D$10/1200),2))</f>
        <v/>
      </c>
      <c r="AA79" s="33">
        <f>IF(Z79&lt;=0,0,MIN('Your debts'!$E$10,Z79))</f>
        <v/>
      </c>
      <c r="AB79" s="33">
        <f>Z79-AA79</f>
        <v/>
      </c>
      <c r="AC79" s="33">
        <f>IF('Your debts'!$F$10="",0,MIN(AB79,MAX(0,MAX(0,'Your debts'!$C$19-(G79+L79+Q79+V79+AA79+AF79+AK79+AP79+AU79+AZ79))-(IF(AND('Your debts'!$F$6&lt;&gt;"",'Your debts'!$F$10&lt;&gt;"",'Your debts'!$F$6&lt;'Your debts'!$F$10),H79,0)+IF(AND('Your debts'!$F$7&lt;&gt;"",'Your debts'!$F$10&lt;&gt;"",'Your debts'!$F$7&lt;'Your debts'!$F$10),M79,0)+IF(AND('Your debts'!$F$8&lt;&gt;"",'Your debts'!$F$10&lt;&gt;"",'Your debts'!$F$8&lt;'Your debts'!$F$10),R79,0)+IF(AND('Your debts'!$F$9&lt;&gt;"",'Your debts'!$F$10&lt;&gt;"",'Your debts'!$F$9&lt;'Your debts'!$F$10),W79,0)+IF(AND('Your debts'!$F$11&lt;&gt;"",'Your debts'!$F$10&lt;&gt;"",'Your debts'!$F$11&lt;'Your debts'!$F$10),AG79,0)+IF(AND('Your debts'!$F$12&lt;&gt;"",'Your debts'!$F$10&lt;&gt;"",'Your debts'!$F$12&lt;'Your debts'!$F$10),AL79,0)+IF(AND('Your debts'!$F$13&lt;&gt;"",'Your debts'!$F$10&lt;&gt;"",'Your debts'!$F$13&lt;'Your debts'!$F$10),AQ79,0)+IF(AND('Your debts'!$F$14&lt;&gt;"",'Your debts'!$F$10&lt;&gt;"",'Your debts'!$F$14&lt;'Your debts'!$F$10),AV79,0)+IF(AND('Your debts'!$F$15&lt;&gt;"",'Your debts'!$F$10&lt;&gt;"",'Your debts'!$F$15&lt;'Your debts'!$F$10),BA79,0)))))</f>
        <v/>
      </c>
      <c r="AD79" s="33">
        <f>AB79-AC79</f>
        <v/>
      </c>
      <c r="AE79" s="33">
        <f>IF(AI78&lt;=0,0,ROUND(AI78*(1+'Your debts'!$D$11/1200),2))</f>
        <v/>
      </c>
      <c r="AF79" s="33">
        <f>IF(AE79&lt;=0,0,MIN('Your debts'!$E$11,AE79))</f>
        <v/>
      </c>
      <c r="AG79" s="33">
        <f>AE79-AF79</f>
        <v/>
      </c>
      <c r="AH79" s="33">
        <f>IF('Your debts'!$F$11="",0,MIN(AG79,MAX(0,MAX(0,'Your debts'!$C$19-(G79+L79+Q79+V79+AA79+AF79+AK79+AP79+AU79+AZ79))-(IF(AND('Your debts'!$F$6&lt;&gt;"",'Your debts'!$F$11&lt;&gt;"",'Your debts'!$F$6&lt;'Your debts'!$F$11),H79,0)+IF(AND('Your debts'!$F$7&lt;&gt;"",'Your debts'!$F$11&lt;&gt;"",'Your debts'!$F$7&lt;'Your debts'!$F$11),M79,0)+IF(AND('Your debts'!$F$8&lt;&gt;"",'Your debts'!$F$11&lt;&gt;"",'Your debts'!$F$8&lt;'Your debts'!$F$11),R79,0)+IF(AND('Your debts'!$F$9&lt;&gt;"",'Your debts'!$F$11&lt;&gt;"",'Your debts'!$F$9&lt;'Your debts'!$F$11),W79,0)+IF(AND('Your debts'!$F$10&lt;&gt;"",'Your debts'!$F$11&lt;&gt;"",'Your debts'!$F$10&lt;'Your debts'!$F$11),AB79,0)+IF(AND('Your debts'!$F$12&lt;&gt;"",'Your debts'!$F$11&lt;&gt;"",'Your debts'!$F$12&lt;'Your debts'!$F$11),AL79,0)+IF(AND('Your debts'!$F$13&lt;&gt;"",'Your debts'!$F$11&lt;&gt;"",'Your debts'!$F$13&lt;'Your debts'!$F$11),AQ79,0)+IF(AND('Your debts'!$F$14&lt;&gt;"",'Your debts'!$F$11&lt;&gt;"",'Your debts'!$F$14&lt;'Your debts'!$F$11),AV79,0)+IF(AND('Your debts'!$F$15&lt;&gt;"",'Your debts'!$F$11&lt;&gt;"",'Your debts'!$F$15&lt;'Your debts'!$F$11),BA79,0)))))</f>
        <v/>
      </c>
      <c r="AI79" s="33">
        <f>AG79-AH79</f>
        <v/>
      </c>
      <c r="AJ79" s="33">
        <f>IF(AN78&lt;=0,0,ROUND(AN78*(1+'Your debts'!$D$12/1200),2))</f>
        <v/>
      </c>
      <c r="AK79" s="33">
        <f>IF(AJ79&lt;=0,0,MIN('Your debts'!$E$12,AJ79))</f>
        <v/>
      </c>
      <c r="AL79" s="33">
        <f>AJ79-AK79</f>
        <v/>
      </c>
      <c r="AM79" s="33">
        <f>IF('Your debts'!$F$12="",0,MIN(AL79,MAX(0,MAX(0,'Your debts'!$C$19-(G79+L79+Q79+V79+AA79+AF79+AK79+AP79+AU79+AZ79))-(IF(AND('Your debts'!$F$6&lt;&gt;"",'Your debts'!$F$12&lt;&gt;"",'Your debts'!$F$6&lt;'Your debts'!$F$12),H79,0)+IF(AND('Your debts'!$F$7&lt;&gt;"",'Your debts'!$F$12&lt;&gt;"",'Your debts'!$F$7&lt;'Your debts'!$F$12),M79,0)+IF(AND('Your debts'!$F$8&lt;&gt;"",'Your debts'!$F$12&lt;&gt;"",'Your debts'!$F$8&lt;'Your debts'!$F$12),R79,0)+IF(AND('Your debts'!$F$9&lt;&gt;"",'Your debts'!$F$12&lt;&gt;"",'Your debts'!$F$9&lt;'Your debts'!$F$12),W79,0)+IF(AND('Your debts'!$F$10&lt;&gt;"",'Your debts'!$F$12&lt;&gt;"",'Your debts'!$F$10&lt;'Your debts'!$F$12),AB79,0)+IF(AND('Your debts'!$F$11&lt;&gt;"",'Your debts'!$F$12&lt;&gt;"",'Your debts'!$F$11&lt;'Your debts'!$F$12),AG79,0)+IF(AND('Your debts'!$F$13&lt;&gt;"",'Your debts'!$F$12&lt;&gt;"",'Your debts'!$F$13&lt;'Your debts'!$F$12),AQ79,0)+IF(AND('Your debts'!$F$14&lt;&gt;"",'Your debts'!$F$12&lt;&gt;"",'Your debts'!$F$14&lt;'Your debts'!$F$12),AV79,0)+IF(AND('Your debts'!$F$15&lt;&gt;"",'Your debts'!$F$12&lt;&gt;"",'Your debts'!$F$15&lt;'Your debts'!$F$12),BA79,0)))))</f>
        <v/>
      </c>
      <c r="AN79" s="33">
        <f>AL79-AM79</f>
        <v/>
      </c>
      <c r="AO79" s="33">
        <f>IF(AS78&lt;=0,0,ROUND(AS78*(1+'Your debts'!$D$13/1200),2))</f>
        <v/>
      </c>
      <c r="AP79" s="33">
        <f>IF(AO79&lt;=0,0,MIN('Your debts'!$E$13,AO79))</f>
        <v/>
      </c>
      <c r="AQ79" s="33">
        <f>AO79-AP79</f>
        <v/>
      </c>
      <c r="AR79" s="33">
        <f>IF('Your debts'!$F$13="",0,MIN(AQ79,MAX(0,MAX(0,'Your debts'!$C$19-(G79+L79+Q79+V79+AA79+AF79+AK79+AP79+AU79+AZ79))-(IF(AND('Your debts'!$F$6&lt;&gt;"",'Your debts'!$F$13&lt;&gt;"",'Your debts'!$F$6&lt;'Your debts'!$F$13),H79,0)+IF(AND('Your debts'!$F$7&lt;&gt;"",'Your debts'!$F$13&lt;&gt;"",'Your debts'!$F$7&lt;'Your debts'!$F$13),M79,0)+IF(AND('Your debts'!$F$8&lt;&gt;"",'Your debts'!$F$13&lt;&gt;"",'Your debts'!$F$8&lt;'Your debts'!$F$13),R79,0)+IF(AND('Your debts'!$F$9&lt;&gt;"",'Your debts'!$F$13&lt;&gt;"",'Your debts'!$F$9&lt;'Your debts'!$F$13),W79,0)+IF(AND('Your debts'!$F$10&lt;&gt;"",'Your debts'!$F$13&lt;&gt;"",'Your debts'!$F$10&lt;'Your debts'!$F$13),AB79,0)+IF(AND('Your debts'!$F$11&lt;&gt;"",'Your debts'!$F$13&lt;&gt;"",'Your debts'!$F$11&lt;'Your debts'!$F$13),AG79,0)+IF(AND('Your debts'!$F$12&lt;&gt;"",'Your debts'!$F$13&lt;&gt;"",'Your debts'!$F$12&lt;'Your debts'!$F$13),AL79,0)+IF(AND('Your debts'!$F$14&lt;&gt;"",'Your debts'!$F$13&lt;&gt;"",'Your debts'!$F$14&lt;'Your debts'!$F$13),AV79,0)+IF(AND('Your debts'!$F$15&lt;&gt;"",'Your debts'!$F$13&lt;&gt;"",'Your debts'!$F$15&lt;'Your debts'!$F$13),BA79,0)))))</f>
        <v/>
      </c>
      <c r="AS79" s="33">
        <f>AQ79-AR79</f>
        <v/>
      </c>
      <c r="AT79" s="33">
        <f>IF(AX78&lt;=0,0,ROUND(AX78*(1+'Your debts'!$D$14/1200),2))</f>
        <v/>
      </c>
      <c r="AU79" s="33">
        <f>IF(AT79&lt;=0,0,MIN('Your debts'!$E$14,AT79))</f>
        <v/>
      </c>
      <c r="AV79" s="33">
        <f>AT79-AU79</f>
        <v/>
      </c>
      <c r="AW79" s="33">
        <f>IF('Your debts'!$F$14="",0,MIN(AV79,MAX(0,MAX(0,'Your debts'!$C$19-(G79+L79+Q79+V79+AA79+AF79+AK79+AP79+AU79+AZ79))-(IF(AND('Your debts'!$F$6&lt;&gt;"",'Your debts'!$F$14&lt;&gt;"",'Your debts'!$F$6&lt;'Your debts'!$F$14),H79,0)+IF(AND('Your debts'!$F$7&lt;&gt;"",'Your debts'!$F$14&lt;&gt;"",'Your debts'!$F$7&lt;'Your debts'!$F$14),M79,0)+IF(AND('Your debts'!$F$8&lt;&gt;"",'Your debts'!$F$14&lt;&gt;"",'Your debts'!$F$8&lt;'Your debts'!$F$14),R79,0)+IF(AND('Your debts'!$F$9&lt;&gt;"",'Your debts'!$F$14&lt;&gt;"",'Your debts'!$F$9&lt;'Your debts'!$F$14),W79,0)+IF(AND('Your debts'!$F$10&lt;&gt;"",'Your debts'!$F$14&lt;&gt;"",'Your debts'!$F$10&lt;'Your debts'!$F$14),AB79,0)+IF(AND('Your debts'!$F$11&lt;&gt;"",'Your debts'!$F$14&lt;&gt;"",'Your debts'!$F$11&lt;'Your debts'!$F$14),AG79,0)+IF(AND('Your debts'!$F$12&lt;&gt;"",'Your debts'!$F$14&lt;&gt;"",'Your debts'!$F$12&lt;'Your debts'!$F$14),AL79,0)+IF(AND('Your debts'!$F$13&lt;&gt;"",'Your debts'!$F$14&lt;&gt;"",'Your debts'!$F$13&lt;'Your debts'!$F$14),AQ79,0)+IF(AND('Your debts'!$F$15&lt;&gt;"",'Your debts'!$F$14&lt;&gt;"",'Your debts'!$F$15&lt;'Your debts'!$F$14),BA79,0)))))</f>
        <v/>
      </c>
      <c r="AX79" s="33">
        <f>AV79-AW79</f>
        <v/>
      </c>
      <c r="AY79" s="33">
        <f>IF(BC78&lt;=0,0,ROUND(BC78*(1+'Your debts'!$D$15/1200),2))</f>
        <v/>
      </c>
      <c r="AZ79" s="33">
        <f>IF(AY79&lt;=0,0,MIN('Your debts'!$E$15,AY79))</f>
        <v/>
      </c>
      <c r="BA79" s="33">
        <f>AY79-AZ79</f>
        <v/>
      </c>
      <c r="BB79" s="33">
        <f>IF('Your debts'!$F$15="",0,MIN(BA79,MAX(0,MAX(0,'Your debts'!$C$19-(G79+L79+Q79+V79+AA79+AF79+AK79+AP79+AU79+AZ79))-(IF(AND('Your debts'!$F$6&lt;&gt;"",'Your debts'!$F$15&lt;&gt;"",'Your debts'!$F$6&lt;'Your debts'!$F$15),H79,0)+IF(AND('Your debts'!$F$7&lt;&gt;"",'Your debts'!$F$15&lt;&gt;"",'Your debts'!$F$7&lt;'Your debts'!$F$15),M79,0)+IF(AND('Your debts'!$F$8&lt;&gt;"",'Your debts'!$F$15&lt;&gt;"",'Your debts'!$F$8&lt;'Your debts'!$F$15),R79,0)+IF(AND('Your debts'!$F$9&lt;&gt;"",'Your debts'!$F$15&lt;&gt;"",'Your debts'!$F$9&lt;'Your debts'!$F$15),W79,0)+IF(AND('Your debts'!$F$10&lt;&gt;"",'Your debts'!$F$15&lt;&gt;"",'Your debts'!$F$10&lt;'Your debts'!$F$15),AB79,0)+IF(AND('Your debts'!$F$11&lt;&gt;"",'Your debts'!$F$15&lt;&gt;"",'Your debts'!$F$11&lt;'Your debts'!$F$15),AG79,0)+IF(AND('Your debts'!$F$12&lt;&gt;"",'Your debts'!$F$15&lt;&gt;"",'Your debts'!$F$12&lt;'Your debts'!$F$15),AL79,0)+IF(AND('Your debts'!$F$13&lt;&gt;"",'Your debts'!$F$15&lt;&gt;"",'Your debts'!$F$13&lt;'Your debts'!$F$15),AQ79,0)+IF(AND('Your debts'!$F$14&lt;&gt;"",'Your debts'!$F$15&lt;&gt;"",'Your debts'!$F$14&lt;'Your debts'!$F$15),AV79,0)))))</f>
        <v/>
      </c>
      <c r="BC79" s="33">
        <f>BA79-BB79</f>
        <v/>
      </c>
    </row>
    <row r="80">
      <c r="A80" s="30" t="n">
        <v>65</v>
      </c>
      <c r="B80" s="31">
        <f>EDATE($B$15,65)</f>
        <v/>
      </c>
      <c r="C80" s="32">
        <f>IF(J79&lt;=0,0,F80-J79)+IF(O79&lt;=0,0,K80-O79)+IF(T79&lt;=0,0,P80-T79)+IF(Y79&lt;=0,0,U80-Y79)+IF(AD79&lt;=0,0,Z80-AD79)+IF(AI79&lt;=0,0,AE80-AI79)+IF(AN79&lt;=0,0,AJ80-AN79)+IF(AS79&lt;=0,0,AO80-AS79)+IF(AX79&lt;=0,0,AT80-AX79)+IF(BC79&lt;=0,0,AY80-BC79)</f>
        <v/>
      </c>
      <c r="D80" s="32">
        <f>G80+I80+L80+N80+Q80+S80+V80+X80+AA80+AC80+AF80+AH80+AK80+AM80+AP80+AR80+AU80+AW80+AZ80+BB80</f>
        <v/>
      </c>
      <c r="E80" s="32">
        <f>J80+O80+T80+Y80+AD80+AI80+AN80+AS80+AX80+BC80</f>
        <v/>
      </c>
      <c r="F80" s="33">
        <f>IF(J79&lt;=0,0,ROUND(J79*(1+'Your debts'!$D$6/1200),2))</f>
        <v/>
      </c>
      <c r="G80" s="33">
        <f>IF(F80&lt;=0,0,MIN('Your debts'!$E$6,F80))</f>
        <v/>
      </c>
      <c r="H80" s="33">
        <f>F80-G80</f>
        <v/>
      </c>
      <c r="I80" s="33">
        <f>IF('Your debts'!$F$6="",0,MIN(H80,MAX(0,MAX(0,'Your debts'!$C$19-(G80+L80+Q80+V80+AA80+AF80+AK80+AP80+AU80+AZ80))-(IF(AND('Your debts'!$F$7&lt;&gt;"",'Your debts'!$F$6&lt;&gt;"",'Your debts'!$F$7&lt;'Your debts'!$F$6),M80,0)+IF(AND('Your debts'!$F$8&lt;&gt;"",'Your debts'!$F$6&lt;&gt;"",'Your debts'!$F$8&lt;'Your debts'!$F$6),R80,0)+IF(AND('Your debts'!$F$9&lt;&gt;"",'Your debts'!$F$6&lt;&gt;"",'Your debts'!$F$9&lt;'Your debts'!$F$6),W80,0)+IF(AND('Your debts'!$F$10&lt;&gt;"",'Your debts'!$F$6&lt;&gt;"",'Your debts'!$F$10&lt;'Your debts'!$F$6),AB80,0)+IF(AND('Your debts'!$F$11&lt;&gt;"",'Your debts'!$F$6&lt;&gt;"",'Your debts'!$F$11&lt;'Your debts'!$F$6),AG80,0)+IF(AND('Your debts'!$F$12&lt;&gt;"",'Your debts'!$F$6&lt;&gt;"",'Your debts'!$F$12&lt;'Your debts'!$F$6),AL80,0)+IF(AND('Your debts'!$F$13&lt;&gt;"",'Your debts'!$F$6&lt;&gt;"",'Your debts'!$F$13&lt;'Your debts'!$F$6),AQ80,0)+IF(AND('Your debts'!$F$14&lt;&gt;"",'Your debts'!$F$6&lt;&gt;"",'Your debts'!$F$14&lt;'Your debts'!$F$6),AV80,0)+IF(AND('Your debts'!$F$15&lt;&gt;"",'Your debts'!$F$6&lt;&gt;"",'Your debts'!$F$15&lt;'Your debts'!$F$6),BA80,0)))))</f>
        <v/>
      </c>
      <c r="J80" s="33">
        <f>H80-I80</f>
        <v/>
      </c>
      <c r="K80" s="33">
        <f>IF(O79&lt;=0,0,ROUND(O79*(1+'Your debts'!$D$7/1200),2))</f>
        <v/>
      </c>
      <c r="L80" s="33">
        <f>IF(K80&lt;=0,0,MIN('Your debts'!$E$7,K80))</f>
        <v/>
      </c>
      <c r="M80" s="33">
        <f>K80-L80</f>
        <v/>
      </c>
      <c r="N80" s="33">
        <f>IF('Your debts'!$F$7="",0,MIN(M80,MAX(0,MAX(0,'Your debts'!$C$19-(G80+L80+Q80+V80+AA80+AF80+AK80+AP80+AU80+AZ80))-(IF(AND('Your debts'!$F$6&lt;&gt;"",'Your debts'!$F$7&lt;&gt;"",'Your debts'!$F$6&lt;'Your debts'!$F$7),H80,0)+IF(AND('Your debts'!$F$8&lt;&gt;"",'Your debts'!$F$7&lt;&gt;"",'Your debts'!$F$8&lt;'Your debts'!$F$7),R80,0)+IF(AND('Your debts'!$F$9&lt;&gt;"",'Your debts'!$F$7&lt;&gt;"",'Your debts'!$F$9&lt;'Your debts'!$F$7),W80,0)+IF(AND('Your debts'!$F$10&lt;&gt;"",'Your debts'!$F$7&lt;&gt;"",'Your debts'!$F$10&lt;'Your debts'!$F$7),AB80,0)+IF(AND('Your debts'!$F$11&lt;&gt;"",'Your debts'!$F$7&lt;&gt;"",'Your debts'!$F$11&lt;'Your debts'!$F$7),AG80,0)+IF(AND('Your debts'!$F$12&lt;&gt;"",'Your debts'!$F$7&lt;&gt;"",'Your debts'!$F$12&lt;'Your debts'!$F$7),AL80,0)+IF(AND('Your debts'!$F$13&lt;&gt;"",'Your debts'!$F$7&lt;&gt;"",'Your debts'!$F$13&lt;'Your debts'!$F$7),AQ80,0)+IF(AND('Your debts'!$F$14&lt;&gt;"",'Your debts'!$F$7&lt;&gt;"",'Your debts'!$F$14&lt;'Your debts'!$F$7),AV80,0)+IF(AND('Your debts'!$F$15&lt;&gt;"",'Your debts'!$F$7&lt;&gt;"",'Your debts'!$F$15&lt;'Your debts'!$F$7),BA80,0)))))</f>
        <v/>
      </c>
      <c r="O80" s="33">
        <f>M80-N80</f>
        <v/>
      </c>
      <c r="P80" s="33">
        <f>IF(T79&lt;=0,0,ROUND(T79*(1+'Your debts'!$D$8/1200),2))</f>
        <v/>
      </c>
      <c r="Q80" s="33">
        <f>IF(P80&lt;=0,0,MIN('Your debts'!$E$8,P80))</f>
        <v/>
      </c>
      <c r="R80" s="33">
        <f>P80-Q80</f>
        <v/>
      </c>
      <c r="S80" s="33">
        <f>IF('Your debts'!$F$8="",0,MIN(R80,MAX(0,MAX(0,'Your debts'!$C$19-(G80+L80+Q80+V80+AA80+AF80+AK80+AP80+AU80+AZ80))-(IF(AND('Your debts'!$F$6&lt;&gt;"",'Your debts'!$F$8&lt;&gt;"",'Your debts'!$F$6&lt;'Your debts'!$F$8),H80,0)+IF(AND('Your debts'!$F$7&lt;&gt;"",'Your debts'!$F$8&lt;&gt;"",'Your debts'!$F$7&lt;'Your debts'!$F$8),M80,0)+IF(AND('Your debts'!$F$9&lt;&gt;"",'Your debts'!$F$8&lt;&gt;"",'Your debts'!$F$9&lt;'Your debts'!$F$8),W80,0)+IF(AND('Your debts'!$F$10&lt;&gt;"",'Your debts'!$F$8&lt;&gt;"",'Your debts'!$F$10&lt;'Your debts'!$F$8),AB80,0)+IF(AND('Your debts'!$F$11&lt;&gt;"",'Your debts'!$F$8&lt;&gt;"",'Your debts'!$F$11&lt;'Your debts'!$F$8),AG80,0)+IF(AND('Your debts'!$F$12&lt;&gt;"",'Your debts'!$F$8&lt;&gt;"",'Your debts'!$F$12&lt;'Your debts'!$F$8),AL80,0)+IF(AND('Your debts'!$F$13&lt;&gt;"",'Your debts'!$F$8&lt;&gt;"",'Your debts'!$F$13&lt;'Your debts'!$F$8),AQ80,0)+IF(AND('Your debts'!$F$14&lt;&gt;"",'Your debts'!$F$8&lt;&gt;"",'Your debts'!$F$14&lt;'Your debts'!$F$8),AV80,0)+IF(AND('Your debts'!$F$15&lt;&gt;"",'Your debts'!$F$8&lt;&gt;"",'Your debts'!$F$15&lt;'Your debts'!$F$8),BA80,0)))))</f>
        <v/>
      </c>
      <c r="T80" s="33">
        <f>R80-S80</f>
        <v/>
      </c>
      <c r="U80" s="33">
        <f>IF(Y79&lt;=0,0,ROUND(Y79*(1+'Your debts'!$D$9/1200),2))</f>
        <v/>
      </c>
      <c r="V80" s="33">
        <f>IF(U80&lt;=0,0,MIN('Your debts'!$E$9,U80))</f>
        <v/>
      </c>
      <c r="W80" s="33">
        <f>U80-V80</f>
        <v/>
      </c>
      <c r="X80" s="33">
        <f>IF('Your debts'!$F$9="",0,MIN(W80,MAX(0,MAX(0,'Your debts'!$C$19-(G80+L80+Q80+V80+AA80+AF80+AK80+AP80+AU80+AZ80))-(IF(AND('Your debts'!$F$6&lt;&gt;"",'Your debts'!$F$9&lt;&gt;"",'Your debts'!$F$6&lt;'Your debts'!$F$9),H80,0)+IF(AND('Your debts'!$F$7&lt;&gt;"",'Your debts'!$F$9&lt;&gt;"",'Your debts'!$F$7&lt;'Your debts'!$F$9),M80,0)+IF(AND('Your debts'!$F$8&lt;&gt;"",'Your debts'!$F$9&lt;&gt;"",'Your debts'!$F$8&lt;'Your debts'!$F$9),R80,0)+IF(AND('Your debts'!$F$10&lt;&gt;"",'Your debts'!$F$9&lt;&gt;"",'Your debts'!$F$10&lt;'Your debts'!$F$9),AB80,0)+IF(AND('Your debts'!$F$11&lt;&gt;"",'Your debts'!$F$9&lt;&gt;"",'Your debts'!$F$11&lt;'Your debts'!$F$9),AG80,0)+IF(AND('Your debts'!$F$12&lt;&gt;"",'Your debts'!$F$9&lt;&gt;"",'Your debts'!$F$12&lt;'Your debts'!$F$9),AL80,0)+IF(AND('Your debts'!$F$13&lt;&gt;"",'Your debts'!$F$9&lt;&gt;"",'Your debts'!$F$13&lt;'Your debts'!$F$9),AQ80,0)+IF(AND('Your debts'!$F$14&lt;&gt;"",'Your debts'!$F$9&lt;&gt;"",'Your debts'!$F$14&lt;'Your debts'!$F$9),AV80,0)+IF(AND('Your debts'!$F$15&lt;&gt;"",'Your debts'!$F$9&lt;&gt;"",'Your debts'!$F$15&lt;'Your debts'!$F$9),BA80,0)))))</f>
        <v/>
      </c>
      <c r="Y80" s="33">
        <f>W80-X80</f>
        <v/>
      </c>
      <c r="Z80" s="33">
        <f>IF(AD79&lt;=0,0,ROUND(AD79*(1+'Your debts'!$D$10/1200),2))</f>
        <v/>
      </c>
      <c r="AA80" s="33">
        <f>IF(Z80&lt;=0,0,MIN('Your debts'!$E$10,Z80))</f>
        <v/>
      </c>
      <c r="AB80" s="33">
        <f>Z80-AA80</f>
        <v/>
      </c>
      <c r="AC80" s="33">
        <f>IF('Your debts'!$F$10="",0,MIN(AB80,MAX(0,MAX(0,'Your debts'!$C$19-(G80+L80+Q80+V80+AA80+AF80+AK80+AP80+AU80+AZ80))-(IF(AND('Your debts'!$F$6&lt;&gt;"",'Your debts'!$F$10&lt;&gt;"",'Your debts'!$F$6&lt;'Your debts'!$F$10),H80,0)+IF(AND('Your debts'!$F$7&lt;&gt;"",'Your debts'!$F$10&lt;&gt;"",'Your debts'!$F$7&lt;'Your debts'!$F$10),M80,0)+IF(AND('Your debts'!$F$8&lt;&gt;"",'Your debts'!$F$10&lt;&gt;"",'Your debts'!$F$8&lt;'Your debts'!$F$10),R80,0)+IF(AND('Your debts'!$F$9&lt;&gt;"",'Your debts'!$F$10&lt;&gt;"",'Your debts'!$F$9&lt;'Your debts'!$F$10),W80,0)+IF(AND('Your debts'!$F$11&lt;&gt;"",'Your debts'!$F$10&lt;&gt;"",'Your debts'!$F$11&lt;'Your debts'!$F$10),AG80,0)+IF(AND('Your debts'!$F$12&lt;&gt;"",'Your debts'!$F$10&lt;&gt;"",'Your debts'!$F$12&lt;'Your debts'!$F$10),AL80,0)+IF(AND('Your debts'!$F$13&lt;&gt;"",'Your debts'!$F$10&lt;&gt;"",'Your debts'!$F$13&lt;'Your debts'!$F$10),AQ80,0)+IF(AND('Your debts'!$F$14&lt;&gt;"",'Your debts'!$F$10&lt;&gt;"",'Your debts'!$F$14&lt;'Your debts'!$F$10),AV80,0)+IF(AND('Your debts'!$F$15&lt;&gt;"",'Your debts'!$F$10&lt;&gt;"",'Your debts'!$F$15&lt;'Your debts'!$F$10),BA80,0)))))</f>
        <v/>
      </c>
      <c r="AD80" s="33">
        <f>AB80-AC80</f>
        <v/>
      </c>
      <c r="AE80" s="33">
        <f>IF(AI79&lt;=0,0,ROUND(AI79*(1+'Your debts'!$D$11/1200),2))</f>
        <v/>
      </c>
      <c r="AF80" s="33">
        <f>IF(AE80&lt;=0,0,MIN('Your debts'!$E$11,AE80))</f>
        <v/>
      </c>
      <c r="AG80" s="33">
        <f>AE80-AF80</f>
        <v/>
      </c>
      <c r="AH80" s="33">
        <f>IF('Your debts'!$F$11="",0,MIN(AG80,MAX(0,MAX(0,'Your debts'!$C$19-(G80+L80+Q80+V80+AA80+AF80+AK80+AP80+AU80+AZ80))-(IF(AND('Your debts'!$F$6&lt;&gt;"",'Your debts'!$F$11&lt;&gt;"",'Your debts'!$F$6&lt;'Your debts'!$F$11),H80,0)+IF(AND('Your debts'!$F$7&lt;&gt;"",'Your debts'!$F$11&lt;&gt;"",'Your debts'!$F$7&lt;'Your debts'!$F$11),M80,0)+IF(AND('Your debts'!$F$8&lt;&gt;"",'Your debts'!$F$11&lt;&gt;"",'Your debts'!$F$8&lt;'Your debts'!$F$11),R80,0)+IF(AND('Your debts'!$F$9&lt;&gt;"",'Your debts'!$F$11&lt;&gt;"",'Your debts'!$F$9&lt;'Your debts'!$F$11),W80,0)+IF(AND('Your debts'!$F$10&lt;&gt;"",'Your debts'!$F$11&lt;&gt;"",'Your debts'!$F$10&lt;'Your debts'!$F$11),AB80,0)+IF(AND('Your debts'!$F$12&lt;&gt;"",'Your debts'!$F$11&lt;&gt;"",'Your debts'!$F$12&lt;'Your debts'!$F$11),AL80,0)+IF(AND('Your debts'!$F$13&lt;&gt;"",'Your debts'!$F$11&lt;&gt;"",'Your debts'!$F$13&lt;'Your debts'!$F$11),AQ80,0)+IF(AND('Your debts'!$F$14&lt;&gt;"",'Your debts'!$F$11&lt;&gt;"",'Your debts'!$F$14&lt;'Your debts'!$F$11),AV80,0)+IF(AND('Your debts'!$F$15&lt;&gt;"",'Your debts'!$F$11&lt;&gt;"",'Your debts'!$F$15&lt;'Your debts'!$F$11),BA80,0)))))</f>
        <v/>
      </c>
      <c r="AI80" s="33">
        <f>AG80-AH80</f>
        <v/>
      </c>
      <c r="AJ80" s="33">
        <f>IF(AN79&lt;=0,0,ROUND(AN79*(1+'Your debts'!$D$12/1200),2))</f>
        <v/>
      </c>
      <c r="AK80" s="33">
        <f>IF(AJ80&lt;=0,0,MIN('Your debts'!$E$12,AJ80))</f>
        <v/>
      </c>
      <c r="AL80" s="33">
        <f>AJ80-AK80</f>
        <v/>
      </c>
      <c r="AM80" s="33">
        <f>IF('Your debts'!$F$12="",0,MIN(AL80,MAX(0,MAX(0,'Your debts'!$C$19-(G80+L80+Q80+V80+AA80+AF80+AK80+AP80+AU80+AZ80))-(IF(AND('Your debts'!$F$6&lt;&gt;"",'Your debts'!$F$12&lt;&gt;"",'Your debts'!$F$6&lt;'Your debts'!$F$12),H80,0)+IF(AND('Your debts'!$F$7&lt;&gt;"",'Your debts'!$F$12&lt;&gt;"",'Your debts'!$F$7&lt;'Your debts'!$F$12),M80,0)+IF(AND('Your debts'!$F$8&lt;&gt;"",'Your debts'!$F$12&lt;&gt;"",'Your debts'!$F$8&lt;'Your debts'!$F$12),R80,0)+IF(AND('Your debts'!$F$9&lt;&gt;"",'Your debts'!$F$12&lt;&gt;"",'Your debts'!$F$9&lt;'Your debts'!$F$12),W80,0)+IF(AND('Your debts'!$F$10&lt;&gt;"",'Your debts'!$F$12&lt;&gt;"",'Your debts'!$F$10&lt;'Your debts'!$F$12),AB80,0)+IF(AND('Your debts'!$F$11&lt;&gt;"",'Your debts'!$F$12&lt;&gt;"",'Your debts'!$F$11&lt;'Your debts'!$F$12),AG80,0)+IF(AND('Your debts'!$F$13&lt;&gt;"",'Your debts'!$F$12&lt;&gt;"",'Your debts'!$F$13&lt;'Your debts'!$F$12),AQ80,0)+IF(AND('Your debts'!$F$14&lt;&gt;"",'Your debts'!$F$12&lt;&gt;"",'Your debts'!$F$14&lt;'Your debts'!$F$12),AV80,0)+IF(AND('Your debts'!$F$15&lt;&gt;"",'Your debts'!$F$12&lt;&gt;"",'Your debts'!$F$15&lt;'Your debts'!$F$12),BA80,0)))))</f>
        <v/>
      </c>
      <c r="AN80" s="33">
        <f>AL80-AM80</f>
        <v/>
      </c>
      <c r="AO80" s="33">
        <f>IF(AS79&lt;=0,0,ROUND(AS79*(1+'Your debts'!$D$13/1200),2))</f>
        <v/>
      </c>
      <c r="AP80" s="33">
        <f>IF(AO80&lt;=0,0,MIN('Your debts'!$E$13,AO80))</f>
        <v/>
      </c>
      <c r="AQ80" s="33">
        <f>AO80-AP80</f>
        <v/>
      </c>
      <c r="AR80" s="33">
        <f>IF('Your debts'!$F$13="",0,MIN(AQ80,MAX(0,MAX(0,'Your debts'!$C$19-(G80+L80+Q80+V80+AA80+AF80+AK80+AP80+AU80+AZ80))-(IF(AND('Your debts'!$F$6&lt;&gt;"",'Your debts'!$F$13&lt;&gt;"",'Your debts'!$F$6&lt;'Your debts'!$F$13),H80,0)+IF(AND('Your debts'!$F$7&lt;&gt;"",'Your debts'!$F$13&lt;&gt;"",'Your debts'!$F$7&lt;'Your debts'!$F$13),M80,0)+IF(AND('Your debts'!$F$8&lt;&gt;"",'Your debts'!$F$13&lt;&gt;"",'Your debts'!$F$8&lt;'Your debts'!$F$13),R80,0)+IF(AND('Your debts'!$F$9&lt;&gt;"",'Your debts'!$F$13&lt;&gt;"",'Your debts'!$F$9&lt;'Your debts'!$F$13),W80,0)+IF(AND('Your debts'!$F$10&lt;&gt;"",'Your debts'!$F$13&lt;&gt;"",'Your debts'!$F$10&lt;'Your debts'!$F$13),AB80,0)+IF(AND('Your debts'!$F$11&lt;&gt;"",'Your debts'!$F$13&lt;&gt;"",'Your debts'!$F$11&lt;'Your debts'!$F$13),AG80,0)+IF(AND('Your debts'!$F$12&lt;&gt;"",'Your debts'!$F$13&lt;&gt;"",'Your debts'!$F$12&lt;'Your debts'!$F$13),AL80,0)+IF(AND('Your debts'!$F$14&lt;&gt;"",'Your debts'!$F$13&lt;&gt;"",'Your debts'!$F$14&lt;'Your debts'!$F$13),AV80,0)+IF(AND('Your debts'!$F$15&lt;&gt;"",'Your debts'!$F$13&lt;&gt;"",'Your debts'!$F$15&lt;'Your debts'!$F$13),BA80,0)))))</f>
        <v/>
      </c>
      <c r="AS80" s="33">
        <f>AQ80-AR80</f>
        <v/>
      </c>
      <c r="AT80" s="33">
        <f>IF(AX79&lt;=0,0,ROUND(AX79*(1+'Your debts'!$D$14/1200),2))</f>
        <v/>
      </c>
      <c r="AU80" s="33">
        <f>IF(AT80&lt;=0,0,MIN('Your debts'!$E$14,AT80))</f>
        <v/>
      </c>
      <c r="AV80" s="33">
        <f>AT80-AU80</f>
        <v/>
      </c>
      <c r="AW80" s="33">
        <f>IF('Your debts'!$F$14="",0,MIN(AV80,MAX(0,MAX(0,'Your debts'!$C$19-(G80+L80+Q80+V80+AA80+AF80+AK80+AP80+AU80+AZ80))-(IF(AND('Your debts'!$F$6&lt;&gt;"",'Your debts'!$F$14&lt;&gt;"",'Your debts'!$F$6&lt;'Your debts'!$F$14),H80,0)+IF(AND('Your debts'!$F$7&lt;&gt;"",'Your debts'!$F$14&lt;&gt;"",'Your debts'!$F$7&lt;'Your debts'!$F$14),M80,0)+IF(AND('Your debts'!$F$8&lt;&gt;"",'Your debts'!$F$14&lt;&gt;"",'Your debts'!$F$8&lt;'Your debts'!$F$14),R80,0)+IF(AND('Your debts'!$F$9&lt;&gt;"",'Your debts'!$F$14&lt;&gt;"",'Your debts'!$F$9&lt;'Your debts'!$F$14),W80,0)+IF(AND('Your debts'!$F$10&lt;&gt;"",'Your debts'!$F$14&lt;&gt;"",'Your debts'!$F$10&lt;'Your debts'!$F$14),AB80,0)+IF(AND('Your debts'!$F$11&lt;&gt;"",'Your debts'!$F$14&lt;&gt;"",'Your debts'!$F$11&lt;'Your debts'!$F$14),AG80,0)+IF(AND('Your debts'!$F$12&lt;&gt;"",'Your debts'!$F$14&lt;&gt;"",'Your debts'!$F$12&lt;'Your debts'!$F$14),AL80,0)+IF(AND('Your debts'!$F$13&lt;&gt;"",'Your debts'!$F$14&lt;&gt;"",'Your debts'!$F$13&lt;'Your debts'!$F$14),AQ80,0)+IF(AND('Your debts'!$F$15&lt;&gt;"",'Your debts'!$F$14&lt;&gt;"",'Your debts'!$F$15&lt;'Your debts'!$F$14),BA80,0)))))</f>
        <v/>
      </c>
      <c r="AX80" s="33">
        <f>AV80-AW80</f>
        <v/>
      </c>
      <c r="AY80" s="33">
        <f>IF(BC79&lt;=0,0,ROUND(BC79*(1+'Your debts'!$D$15/1200),2))</f>
        <v/>
      </c>
      <c r="AZ80" s="33">
        <f>IF(AY80&lt;=0,0,MIN('Your debts'!$E$15,AY80))</f>
        <v/>
      </c>
      <c r="BA80" s="33">
        <f>AY80-AZ80</f>
        <v/>
      </c>
      <c r="BB80" s="33">
        <f>IF('Your debts'!$F$15="",0,MIN(BA80,MAX(0,MAX(0,'Your debts'!$C$19-(G80+L80+Q80+V80+AA80+AF80+AK80+AP80+AU80+AZ80))-(IF(AND('Your debts'!$F$6&lt;&gt;"",'Your debts'!$F$15&lt;&gt;"",'Your debts'!$F$6&lt;'Your debts'!$F$15),H80,0)+IF(AND('Your debts'!$F$7&lt;&gt;"",'Your debts'!$F$15&lt;&gt;"",'Your debts'!$F$7&lt;'Your debts'!$F$15),M80,0)+IF(AND('Your debts'!$F$8&lt;&gt;"",'Your debts'!$F$15&lt;&gt;"",'Your debts'!$F$8&lt;'Your debts'!$F$15),R80,0)+IF(AND('Your debts'!$F$9&lt;&gt;"",'Your debts'!$F$15&lt;&gt;"",'Your debts'!$F$9&lt;'Your debts'!$F$15),W80,0)+IF(AND('Your debts'!$F$10&lt;&gt;"",'Your debts'!$F$15&lt;&gt;"",'Your debts'!$F$10&lt;'Your debts'!$F$15),AB80,0)+IF(AND('Your debts'!$F$11&lt;&gt;"",'Your debts'!$F$15&lt;&gt;"",'Your debts'!$F$11&lt;'Your debts'!$F$15),AG80,0)+IF(AND('Your debts'!$F$12&lt;&gt;"",'Your debts'!$F$15&lt;&gt;"",'Your debts'!$F$12&lt;'Your debts'!$F$15),AL80,0)+IF(AND('Your debts'!$F$13&lt;&gt;"",'Your debts'!$F$15&lt;&gt;"",'Your debts'!$F$13&lt;'Your debts'!$F$15),AQ80,0)+IF(AND('Your debts'!$F$14&lt;&gt;"",'Your debts'!$F$15&lt;&gt;"",'Your debts'!$F$14&lt;'Your debts'!$F$15),AV80,0)))))</f>
        <v/>
      </c>
      <c r="BC80" s="33">
        <f>BA80-BB80</f>
        <v/>
      </c>
    </row>
    <row r="81">
      <c r="A81" s="30" t="n">
        <v>66</v>
      </c>
      <c r="B81" s="31">
        <f>EDATE($B$15,66)</f>
        <v/>
      </c>
      <c r="C81" s="32">
        <f>IF(J80&lt;=0,0,F81-J80)+IF(O80&lt;=0,0,K81-O80)+IF(T80&lt;=0,0,P81-T80)+IF(Y80&lt;=0,0,U81-Y80)+IF(AD80&lt;=0,0,Z81-AD80)+IF(AI80&lt;=0,0,AE81-AI80)+IF(AN80&lt;=0,0,AJ81-AN80)+IF(AS80&lt;=0,0,AO81-AS80)+IF(AX80&lt;=0,0,AT81-AX80)+IF(BC80&lt;=0,0,AY81-BC80)</f>
        <v/>
      </c>
      <c r="D81" s="32">
        <f>G81+I81+L81+N81+Q81+S81+V81+X81+AA81+AC81+AF81+AH81+AK81+AM81+AP81+AR81+AU81+AW81+AZ81+BB81</f>
        <v/>
      </c>
      <c r="E81" s="32">
        <f>J81+O81+T81+Y81+AD81+AI81+AN81+AS81+AX81+BC81</f>
        <v/>
      </c>
      <c r="F81" s="33">
        <f>IF(J80&lt;=0,0,ROUND(J80*(1+'Your debts'!$D$6/1200),2))</f>
        <v/>
      </c>
      <c r="G81" s="33">
        <f>IF(F81&lt;=0,0,MIN('Your debts'!$E$6,F81))</f>
        <v/>
      </c>
      <c r="H81" s="33">
        <f>F81-G81</f>
        <v/>
      </c>
      <c r="I81" s="33">
        <f>IF('Your debts'!$F$6="",0,MIN(H81,MAX(0,MAX(0,'Your debts'!$C$19-(G81+L81+Q81+V81+AA81+AF81+AK81+AP81+AU81+AZ81))-(IF(AND('Your debts'!$F$7&lt;&gt;"",'Your debts'!$F$6&lt;&gt;"",'Your debts'!$F$7&lt;'Your debts'!$F$6),M81,0)+IF(AND('Your debts'!$F$8&lt;&gt;"",'Your debts'!$F$6&lt;&gt;"",'Your debts'!$F$8&lt;'Your debts'!$F$6),R81,0)+IF(AND('Your debts'!$F$9&lt;&gt;"",'Your debts'!$F$6&lt;&gt;"",'Your debts'!$F$9&lt;'Your debts'!$F$6),W81,0)+IF(AND('Your debts'!$F$10&lt;&gt;"",'Your debts'!$F$6&lt;&gt;"",'Your debts'!$F$10&lt;'Your debts'!$F$6),AB81,0)+IF(AND('Your debts'!$F$11&lt;&gt;"",'Your debts'!$F$6&lt;&gt;"",'Your debts'!$F$11&lt;'Your debts'!$F$6),AG81,0)+IF(AND('Your debts'!$F$12&lt;&gt;"",'Your debts'!$F$6&lt;&gt;"",'Your debts'!$F$12&lt;'Your debts'!$F$6),AL81,0)+IF(AND('Your debts'!$F$13&lt;&gt;"",'Your debts'!$F$6&lt;&gt;"",'Your debts'!$F$13&lt;'Your debts'!$F$6),AQ81,0)+IF(AND('Your debts'!$F$14&lt;&gt;"",'Your debts'!$F$6&lt;&gt;"",'Your debts'!$F$14&lt;'Your debts'!$F$6),AV81,0)+IF(AND('Your debts'!$F$15&lt;&gt;"",'Your debts'!$F$6&lt;&gt;"",'Your debts'!$F$15&lt;'Your debts'!$F$6),BA81,0)))))</f>
        <v/>
      </c>
      <c r="J81" s="33">
        <f>H81-I81</f>
        <v/>
      </c>
      <c r="K81" s="33">
        <f>IF(O80&lt;=0,0,ROUND(O80*(1+'Your debts'!$D$7/1200),2))</f>
        <v/>
      </c>
      <c r="L81" s="33">
        <f>IF(K81&lt;=0,0,MIN('Your debts'!$E$7,K81))</f>
        <v/>
      </c>
      <c r="M81" s="33">
        <f>K81-L81</f>
        <v/>
      </c>
      <c r="N81" s="33">
        <f>IF('Your debts'!$F$7="",0,MIN(M81,MAX(0,MAX(0,'Your debts'!$C$19-(G81+L81+Q81+V81+AA81+AF81+AK81+AP81+AU81+AZ81))-(IF(AND('Your debts'!$F$6&lt;&gt;"",'Your debts'!$F$7&lt;&gt;"",'Your debts'!$F$6&lt;'Your debts'!$F$7),H81,0)+IF(AND('Your debts'!$F$8&lt;&gt;"",'Your debts'!$F$7&lt;&gt;"",'Your debts'!$F$8&lt;'Your debts'!$F$7),R81,0)+IF(AND('Your debts'!$F$9&lt;&gt;"",'Your debts'!$F$7&lt;&gt;"",'Your debts'!$F$9&lt;'Your debts'!$F$7),W81,0)+IF(AND('Your debts'!$F$10&lt;&gt;"",'Your debts'!$F$7&lt;&gt;"",'Your debts'!$F$10&lt;'Your debts'!$F$7),AB81,0)+IF(AND('Your debts'!$F$11&lt;&gt;"",'Your debts'!$F$7&lt;&gt;"",'Your debts'!$F$11&lt;'Your debts'!$F$7),AG81,0)+IF(AND('Your debts'!$F$12&lt;&gt;"",'Your debts'!$F$7&lt;&gt;"",'Your debts'!$F$12&lt;'Your debts'!$F$7),AL81,0)+IF(AND('Your debts'!$F$13&lt;&gt;"",'Your debts'!$F$7&lt;&gt;"",'Your debts'!$F$13&lt;'Your debts'!$F$7),AQ81,0)+IF(AND('Your debts'!$F$14&lt;&gt;"",'Your debts'!$F$7&lt;&gt;"",'Your debts'!$F$14&lt;'Your debts'!$F$7),AV81,0)+IF(AND('Your debts'!$F$15&lt;&gt;"",'Your debts'!$F$7&lt;&gt;"",'Your debts'!$F$15&lt;'Your debts'!$F$7),BA81,0)))))</f>
        <v/>
      </c>
      <c r="O81" s="33">
        <f>M81-N81</f>
        <v/>
      </c>
      <c r="P81" s="33">
        <f>IF(T80&lt;=0,0,ROUND(T80*(1+'Your debts'!$D$8/1200),2))</f>
        <v/>
      </c>
      <c r="Q81" s="33">
        <f>IF(P81&lt;=0,0,MIN('Your debts'!$E$8,P81))</f>
        <v/>
      </c>
      <c r="R81" s="33">
        <f>P81-Q81</f>
        <v/>
      </c>
      <c r="S81" s="33">
        <f>IF('Your debts'!$F$8="",0,MIN(R81,MAX(0,MAX(0,'Your debts'!$C$19-(G81+L81+Q81+V81+AA81+AF81+AK81+AP81+AU81+AZ81))-(IF(AND('Your debts'!$F$6&lt;&gt;"",'Your debts'!$F$8&lt;&gt;"",'Your debts'!$F$6&lt;'Your debts'!$F$8),H81,0)+IF(AND('Your debts'!$F$7&lt;&gt;"",'Your debts'!$F$8&lt;&gt;"",'Your debts'!$F$7&lt;'Your debts'!$F$8),M81,0)+IF(AND('Your debts'!$F$9&lt;&gt;"",'Your debts'!$F$8&lt;&gt;"",'Your debts'!$F$9&lt;'Your debts'!$F$8),W81,0)+IF(AND('Your debts'!$F$10&lt;&gt;"",'Your debts'!$F$8&lt;&gt;"",'Your debts'!$F$10&lt;'Your debts'!$F$8),AB81,0)+IF(AND('Your debts'!$F$11&lt;&gt;"",'Your debts'!$F$8&lt;&gt;"",'Your debts'!$F$11&lt;'Your debts'!$F$8),AG81,0)+IF(AND('Your debts'!$F$12&lt;&gt;"",'Your debts'!$F$8&lt;&gt;"",'Your debts'!$F$12&lt;'Your debts'!$F$8),AL81,0)+IF(AND('Your debts'!$F$13&lt;&gt;"",'Your debts'!$F$8&lt;&gt;"",'Your debts'!$F$13&lt;'Your debts'!$F$8),AQ81,0)+IF(AND('Your debts'!$F$14&lt;&gt;"",'Your debts'!$F$8&lt;&gt;"",'Your debts'!$F$14&lt;'Your debts'!$F$8),AV81,0)+IF(AND('Your debts'!$F$15&lt;&gt;"",'Your debts'!$F$8&lt;&gt;"",'Your debts'!$F$15&lt;'Your debts'!$F$8),BA81,0)))))</f>
        <v/>
      </c>
      <c r="T81" s="33">
        <f>R81-S81</f>
        <v/>
      </c>
      <c r="U81" s="33">
        <f>IF(Y80&lt;=0,0,ROUND(Y80*(1+'Your debts'!$D$9/1200),2))</f>
        <v/>
      </c>
      <c r="V81" s="33">
        <f>IF(U81&lt;=0,0,MIN('Your debts'!$E$9,U81))</f>
        <v/>
      </c>
      <c r="W81" s="33">
        <f>U81-V81</f>
        <v/>
      </c>
      <c r="X81" s="33">
        <f>IF('Your debts'!$F$9="",0,MIN(W81,MAX(0,MAX(0,'Your debts'!$C$19-(G81+L81+Q81+V81+AA81+AF81+AK81+AP81+AU81+AZ81))-(IF(AND('Your debts'!$F$6&lt;&gt;"",'Your debts'!$F$9&lt;&gt;"",'Your debts'!$F$6&lt;'Your debts'!$F$9),H81,0)+IF(AND('Your debts'!$F$7&lt;&gt;"",'Your debts'!$F$9&lt;&gt;"",'Your debts'!$F$7&lt;'Your debts'!$F$9),M81,0)+IF(AND('Your debts'!$F$8&lt;&gt;"",'Your debts'!$F$9&lt;&gt;"",'Your debts'!$F$8&lt;'Your debts'!$F$9),R81,0)+IF(AND('Your debts'!$F$10&lt;&gt;"",'Your debts'!$F$9&lt;&gt;"",'Your debts'!$F$10&lt;'Your debts'!$F$9),AB81,0)+IF(AND('Your debts'!$F$11&lt;&gt;"",'Your debts'!$F$9&lt;&gt;"",'Your debts'!$F$11&lt;'Your debts'!$F$9),AG81,0)+IF(AND('Your debts'!$F$12&lt;&gt;"",'Your debts'!$F$9&lt;&gt;"",'Your debts'!$F$12&lt;'Your debts'!$F$9),AL81,0)+IF(AND('Your debts'!$F$13&lt;&gt;"",'Your debts'!$F$9&lt;&gt;"",'Your debts'!$F$13&lt;'Your debts'!$F$9),AQ81,0)+IF(AND('Your debts'!$F$14&lt;&gt;"",'Your debts'!$F$9&lt;&gt;"",'Your debts'!$F$14&lt;'Your debts'!$F$9),AV81,0)+IF(AND('Your debts'!$F$15&lt;&gt;"",'Your debts'!$F$9&lt;&gt;"",'Your debts'!$F$15&lt;'Your debts'!$F$9),BA81,0)))))</f>
        <v/>
      </c>
      <c r="Y81" s="33">
        <f>W81-X81</f>
        <v/>
      </c>
      <c r="Z81" s="33">
        <f>IF(AD80&lt;=0,0,ROUND(AD80*(1+'Your debts'!$D$10/1200),2))</f>
        <v/>
      </c>
      <c r="AA81" s="33">
        <f>IF(Z81&lt;=0,0,MIN('Your debts'!$E$10,Z81))</f>
        <v/>
      </c>
      <c r="AB81" s="33">
        <f>Z81-AA81</f>
        <v/>
      </c>
      <c r="AC81" s="33">
        <f>IF('Your debts'!$F$10="",0,MIN(AB81,MAX(0,MAX(0,'Your debts'!$C$19-(G81+L81+Q81+V81+AA81+AF81+AK81+AP81+AU81+AZ81))-(IF(AND('Your debts'!$F$6&lt;&gt;"",'Your debts'!$F$10&lt;&gt;"",'Your debts'!$F$6&lt;'Your debts'!$F$10),H81,0)+IF(AND('Your debts'!$F$7&lt;&gt;"",'Your debts'!$F$10&lt;&gt;"",'Your debts'!$F$7&lt;'Your debts'!$F$10),M81,0)+IF(AND('Your debts'!$F$8&lt;&gt;"",'Your debts'!$F$10&lt;&gt;"",'Your debts'!$F$8&lt;'Your debts'!$F$10),R81,0)+IF(AND('Your debts'!$F$9&lt;&gt;"",'Your debts'!$F$10&lt;&gt;"",'Your debts'!$F$9&lt;'Your debts'!$F$10),W81,0)+IF(AND('Your debts'!$F$11&lt;&gt;"",'Your debts'!$F$10&lt;&gt;"",'Your debts'!$F$11&lt;'Your debts'!$F$10),AG81,0)+IF(AND('Your debts'!$F$12&lt;&gt;"",'Your debts'!$F$10&lt;&gt;"",'Your debts'!$F$12&lt;'Your debts'!$F$10),AL81,0)+IF(AND('Your debts'!$F$13&lt;&gt;"",'Your debts'!$F$10&lt;&gt;"",'Your debts'!$F$13&lt;'Your debts'!$F$10),AQ81,0)+IF(AND('Your debts'!$F$14&lt;&gt;"",'Your debts'!$F$10&lt;&gt;"",'Your debts'!$F$14&lt;'Your debts'!$F$10),AV81,0)+IF(AND('Your debts'!$F$15&lt;&gt;"",'Your debts'!$F$10&lt;&gt;"",'Your debts'!$F$15&lt;'Your debts'!$F$10),BA81,0)))))</f>
        <v/>
      </c>
      <c r="AD81" s="33">
        <f>AB81-AC81</f>
        <v/>
      </c>
      <c r="AE81" s="33">
        <f>IF(AI80&lt;=0,0,ROUND(AI80*(1+'Your debts'!$D$11/1200),2))</f>
        <v/>
      </c>
      <c r="AF81" s="33">
        <f>IF(AE81&lt;=0,0,MIN('Your debts'!$E$11,AE81))</f>
        <v/>
      </c>
      <c r="AG81" s="33">
        <f>AE81-AF81</f>
        <v/>
      </c>
      <c r="AH81" s="33">
        <f>IF('Your debts'!$F$11="",0,MIN(AG81,MAX(0,MAX(0,'Your debts'!$C$19-(G81+L81+Q81+V81+AA81+AF81+AK81+AP81+AU81+AZ81))-(IF(AND('Your debts'!$F$6&lt;&gt;"",'Your debts'!$F$11&lt;&gt;"",'Your debts'!$F$6&lt;'Your debts'!$F$11),H81,0)+IF(AND('Your debts'!$F$7&lt;&gt;"",'Your debts'!$F$11&lt;&gt;"",'Your debts'!$F$7&lt;'Your debts'!$F$11),M81,0)+IF(AND('Your debts'!$F$8&lt;&gt;"",'Your debts'!$F$11&lt;&gt;"",'Your debts'!$F$8&lt;'Your debts'!$F$11),R81,0)+IF(AND('Your debts'!$F$9&lt;&gt;"",'Your debts'!$F$11&lt;&gt;"",'Your debts'!$F$9&lt;'Your debts'!$F$11),W81,0)+IF(AND('Your debts'!$F$10&lt;&gt;"",'Your debts'!$F$11&lt;&gt;"",'Your debts'!$F$10&lt;'Your debts'!$F$11),AB81,0)+IF(AND('Your debts'!$F$12&lt;&gt;"",'Your debts'!$F$11&lt;&gt;"",'Your debts'!$F$12&lt;'Your debts'!$F$11),AL81,0)+IF(AND('Your debts'!$F$13&lt;&gt;"",'Your debts'!$F$11&lt;&gt;"",'Your debts'!$F$13&lt;'Your debts'!$F$11),AQ81,0)+IF(AND('Your debts'!$F$14&lt;&gt;"",'Your debts'!$F$11&lt;&gt;"",'Your debts'!$F$14&lt;'Your debts'!$F$11),AV81,0)+IF(AND('Your debts'!$F$15&lt;&gt;"",'Your debts'!$F$11&lt;&gt;"",'Your debts'!$F$15&lt;'Your debts'!$F$11),BA81,0)))))</f>
        <v/>
      </c>
      <c r="AI81" s="33">
        <f>AG81-AH81</f>
        <v/>
      </c>
      <c r="AJ81" s="33">
        <f>IF(AN80&lt;=0,0,ROUND(AN80*(1+'Your debts'!$D$12/1200),2))</f>
        <v/>
      </c>
      <c r="AK81" s="33">
        <f>IF(AJ81&lt;=0,0,MIN('Your debts'!$E$12,AJ81))</f>
        <v/>
      </c>
      <c r="AL81" s="33">
        <f>AJ81-AK81</f>
        <v/>
      </c>
      <c r="AM81" s="33">
        <f>IF('Your debts'!$F$12="",0,MIN(AL81,MAX(0,MAX(0,'Your debts'!$C$19-(G81+L81+Q81+V81+AA81+AF81+AK81+AP81+AU81+AZ81))-(IF(AND('Your debts'!$F$6&lt;&gt;"",'Your debts'!$F$12&lt;&gt;"",'Your debts'!$F$6&lt;'Your debts'!$F$12),H81,0)+IF(AND('Your debts'!$F$7&lt;&gt;"",'Your debts'!$F$12&lt;&gt;"",'Your debts'!$F$7&lt;'Your debts'!$F$12),M81,0)+IF(AND('Your debts'!$F$8&lt;&gt;"",'Your debts'!$F$12&lt;&gt;"",'Your debts'!$F$8&lt;'Your debts'!$F$12),R81,0)+IF(AND('Your debts'!$F$9&lt;&gt;"",'Your debts'!$F$12&lt;&gt;"",'Your debts'!$F$9&lt;'Your debts'!$F$12),W81,0)+IF(AND('Your debts'!$F$10&lt;&gt;"",'Your debts'!$F$12&lt;&gt;"",'Your debts'!$F$10&lt;'Your debts'!$F$12),AB81,0)+IF(AND('Your debts'!$F$11&lt;&gt;"",'Your debts'!$F$12&lt;&gt;"",'Your debts'!$F$11&lt;'Your debts'!$F$12),AG81,0)+IF(AND('Your debts'!$F$13&lt;&gt;"",'Your debts'!$F$12&lt;&gt;"",'Your debts'!$F$13&lt;'Your debts'!$F$12),AQ81,0)+IF(AND('Your debts'!$F$14&lt;&gt;"",'Your debts'!$F$12&lt;&gt;"",'Your debts'!$F$14&lt;'Your debts'!$F$12),AV81,0)+IF(AND('Your debts'!$F$15&lt;&gt;"",'Your debts'!$F$12&lt;&gt;"",'Your debts'!$F$15&lt;'Your debts'!$F$12),BA81,0)))))</f>
        <v/>
      </c>
      <c r="AN81" s="33">
        <f>AL81-AM81</f>
        <v/>
      </c>
      <c r="AO81" s="33">
        <f>IF(AS80&lt;=0,0,ROUND(AS80*(1+'Your debts'!$D$13/1200),2))</f>
        <v/>
      </c>
      <c r="AP81" s="33">
        <f>IF(AO81&lt;=0,0,MIN('Your debts'!$E$13,AO81))</f>
        <v/>
      </c>
      <c r="AQ81" s="33">
        <f>AO81-AP81</f>
        <v/>
      </c>
      <c r="AR81" s="33">
        <f>IF('Your debts'!$F$13="",0,MIN(AQ81,MAX(0,MAX(0,'Your debts'!$C$19-(G81+L81+Q81+V81+AA81+AF81+AK81+AP81+AU81+AZ81))-(IF(AND('Your debts'!$F$6&lt;&gt;"",'Your debts'!$F$13&lt;&gt;"",'Your debts'!$F$6&lt;'Your debts'!$F$13),H81,0)+IF(AND('Your debts'!$F$7&lt;&gt;"",'Your debts'!$F$13&lt;&gt;"",'Your debts'!$F$7&lt;'Your debts'!$F$13),M81,0)+IF(AND('Your debts'!$F$8&lt;&gt;"",'Your debts'!$F$13&lt;&gt;"",'Your debts'!$F$8&lt;'Your debts'!$F$13),R81,0)+IF(AND('Your debts'!$F$9&lt;&gt;"",'Your debts'!$F$13&lt;&gt;"",'Your debts'!$F$9&lt;'Your debts'!$F$13),W81,0)+IF(AND('Your debts'!$F$10&lt;&gt;"",'Your debts'!$F$13&lt;&gt;"",'Your debts'!$F$10&lt;'Your debts'!$F$13),AB81,0)+IF(AND('Your debts'!$F$11&lt;&gt;"",'Your debts'!$F$13&lt;&gt;"",'Your debts'!$F$11&lt;'Your debts'!$F$13),AG81,0)+IF(AND('Your debts'!$F$12&lt;&gt;"",'Your debts'!$F$13&lt;&gt;"",'Your debts'!$F$12&lt;'Your debts'!$F$13),AL81,0)+IF(AND('Your debts'!$F$14&lt;&gt;"",'Your debts'!$F$13&lt;&gt;"",'Your debts'!$F$14&lt;'Your debts'!$F$13),AV81,0)+IF(AND('Your debts'!$F$15&lt;&gt;"",'Your debts'!$F$13&lt;&gt;"",'Your debts'!$F$15&lt;'Your debts'!$F$13),BA81,0)))))</f>
        <v/>
      </c>
      <c r="AS81" s="33">
        <f>AQ81-AR81</f>
        <v/>
      </c>
      <c r="AT81" s="33">
        <f>IF(AX80&lt;=0,0,ROUND(AX80*(1+'Your debts'!$D$14/1200),2))</f>
        <v/>
      </c>
      <c r="AU81" s="33">
        <f>IF(AT81&lt;=0,0,MIN('Your debts'!$E$14,AT81))</f>
        <v/>
      </c>
      <c r="AV81" s="33">
        <f>AT81-AU81</f>
        <v/>
      </c>
      <c r="AW81" s="33">
        <f>IF('Your debts'!$F$14="",0,MIN(AV81,MAX(0,MAX(0,'Your debts'!$C$19-(G81+L81+Q81+V81+AA81+AF81+AK81+AP81+AU81+AZ81))-(IF(AND('Your debts'!$F$6&lt;&gt;"",'Your debts'!$F$14&lt;&gt;"",'Your debts'!$F$6&lt;'Your debts'!$F$14),H81,0)+IF(AND('Your debts'!$F$7&lt;&gt;"",'Your debts'!$F$14&lt;&gt;"",'Your debts'!$F$7&lt;'Your debts'!$F$14),M81,0)+IF(AND('Your debts'!$F$8&lt;&gt;"",'Your debts'!$F$14&lt;&gt;"",'Your debts'!$F$8&lt;'Your debts'!$F$14),R81,0)+IF(AND('Your debts'!$F$9&lt;&gt;"",'Your debts'!$F$14&lt;&gt;"",'Your debts'!$F$9&lt;'Your debts'!$F$14),W81,0)+IF(AND('Your debts'!$F$10&lt;&gt;"",'Your debts'!$F$14&lt;&gt;"",'Your debts'!$F$10&lt;'Your debts'!$F$14),AB81,0)+IF(AND('Your debts'!$F$11&lt;&gt;"",'Your debts'!$F$14&lt;&gt;"",'Your debts'!$F$11&lt;'Your debts'!$F$14),AG81,0)+IF(AND('Your debts'!$F$12&lt;&gt;"",'Your debts'!$F$14&lt;&gt;"",'Your debts'!$F$12&lt;'Your debts'!$F$14),AL81,0)+IF(AND('Your debts'!$F$13&lt;&gt;"",'Your debts'!$F$14&lt;&gt;"",'Your debts'!$F$13&lt;'Your debts'!$F$14),AQ81,0)+IF(AND('Your debts'!$F$15&lt;&gt;"",'Your debts'!$F$14&lt;&gt;"",'Your debts'!$F$15&lt;'Your debts'!$F$14),BA81,0)))))</f>
        <v/>
      </c>
      <c r="AX81" s="33">
        <f>AV81-AW81</f>
        <v/>
      </c>
      <c r="AY81" s="33">
        <f>IF(BC80&lt;=0,0,ROUND(BC80*(1+'Your debts'!$D$15/1200),2))</f>
        <v/>
      </c>
      <c r="AZ81" s="33">
        <f>IF(AY81&lt;=0,0,MIN('Your debts'!$E$15,AY81))</f>
        <v/>
      </c>
      <c r="BA81" s="33">
        <f>AY81-AZ81</f>
        <v/>
      </c>
      <c r="BB81" s="33">
        <f>IF('Your debts'!$F$15="",0,MIN(BA81,MAX(0,MAX(0,'Your debts'!$C$19-(G81+L81+Q81+V81+AA81+AF81+AK81+AP81+AU81+AZ81))-(IF(AND('Your debts'!$F$6&lt;&gt;"",'Your debts'!$F$15&lt;&gt;"",'Your debts'!$F$6&lt;'Your debts'!$F$15),H81,0)+IF(AND('Your debts'!$F$7&lt;&gt;"",'Your debts'!$F$15&lt;&gt;"",'Your debts'!$F$7&lt;'Your debts'!$F$15),M81,0)+IF(AND('Your debts'!$F$8&lt;&gt;"",'Your debts'!$F$15&lt;&gt;"",'Your debts'!$F$8&lt;'Your debts'!$F$15),R81,0)+IF(AND('Your debts'!$F$9&lt;&gt;"",'Your debts'!$F$15&lt;&gt;"",'Your debts'!$F$9&lt;'Your debts'!$F$15),W81,0)+IF(AND('Your debts'!$F$10&lt;&gt;"",'Your debts'!$F$15&lt;&gt;"",'Your debts'!$F$10&lt;'Your debts'!$F$15),AB81,0)+IF(AND('Your debts'!$F$11&lt;&gt;"",'Your debts'!$F$15&lt;&gt;"",'Your debts'!$F$11&lt;'Your debts'!$F$15),AG81,0)+IF(AND('Your debts'!$F$12&lt;&gt;"",'Your debts'!$F$15&lt;&gt;"",'Your debts'!$F$12&lt;'Your debts'!$F$15),AL81,0)+IF(AND('Your debts'!$F$13&lt;&gt;"",'Your debts'!$F$15&lt;&gt;"",'Your debts'!$F$13&lt;'Your debts'!$F$15),AQ81,0)+IF(AND('Your debts'!$F$14&lt;&gt;"",'Your debts'!$F$15&lt;&gt;"",'Your debts'!$F$14&lt;'Your debts'!$F$15),AV81,0)))))</f>
        <v/>
      </c>
      <c r="BC81" s="33">
        <f>BA81-BB81</f>
        <v/>
      </c>
    </row>
    <row r="82">
      <c r="A82" s="30" t="n">
        <v>67</v>
      </c>
      <c r="B82" s="31">
        <f>EDATE($B$15,67)</f>
        <v/>
      </c>
      <c r="C82" s="32">
        <f>IF(J81&lt;=0,0,F82-J81)+IF(O81&lt;=0,0,K82-O81)+IF(T81&lt;=0,0,P82-T81)+IF(Y81&lt;=0,0,U82-Y81)+IF(AD81&lt;=0,0,Z82-AD81)+IF(AI81&lt;=0,0,AE82-AI81)+IF(AN81&lt;=0,0,AJ82-AN81)+IF(AS81&lt;=0,0,AO82-AS81)+IF(AX81&lt;=0,0,AT82-AX81)+IF(BC81&lt;=0,0,AY82-BC81)</f>
        <v/>
      </c>
      <c r="D82" s="32">
        <f>G82+I82+L82+N82+Q82+S82+V82+X82+AA82+AC82+AF82+AH82+AK82+AM82+AP82+AR82+AU82+AW82+AZ82+BB82</f>
        <v/>
      </c>
      <c r="E82" s="32">
        <f>J82+O82+T82+Y82+AD82+AI82+AN82+AS82+AX82+BC82</f>
        <v/>
      </c>
      <c r="F82" s="33">
        <f>IF(J81&lt;=0,0,ROUND(J81*(1+'Your debts'!$D$6/1200),2))</f>
        <v/>
      </c>
      <c r="G82" s="33">
        <f>IF(F82&lt;=0,0,MIN('Your debts'!$E$6,F82))</f>
        <v/>
      </c>
      <c r="H82" s="33">
        <f>F82-G82</f>
        <v/>
      </c>
      <c r="I82" s="33">
        <f>IF('Your debts'!$F$6="",0,MIN(H82,MAX(0,MAX(0,'Your debts'!$C$19-(G82+L82+Q82+V82+AA82+AF82+AK82+AP82+AU82+AZ82))-(IF(AND('Your debts'!$F$7&lt;&gt;"",'Your debts'!$F$6&lt;&gt;"",'Your debts'!$F$7&lt;'Your debts'!$F$6),M82,0)+IF(AND('Your debts'!$F$8&lt;&gt;"",'Your debts'!$F$6&lt;&gt;"",'Your debts'!$F$8&lt;'Your debts'!$F$6),R82,0)+IF(AND('Your debts'!$F$9&lt;&gt;"",'Your debts'!$F$6&lt;&gt;"",'Your debts'!$F$9&lt;'Your debts'!$F$6),W82,0)+IF(AND('Your debts'!$F$10&lt;&gt;"",'Your debts'!$F$6&lt;&gt;"",'Your debts'!$F$10&lt;'Your debts'!$F$6),AB82,0)+IF(AND('Your debts'!$F$11&lt;&gt;"",'Your debts'!$F$6&lt;&gt;"",'Your debts'!$F$11&lt;'Your debts'!$F$6),AG82,0)+IF(AND('Your debts'!$F$12&lt;&gt;"",'Your debts'!$F$6&lt;&gt;"",'Your debts'!$F$12&lt;'Your debts'!$F$6),AL82,0)+IF(AND('Your debts'!$F$13&lt;&gt;"",'Your debts'!$F$6&lt;&gt;"",'Your debts'!$F$13&lt;'Your debts'!$F$6),AQ82,0)+IF(AND('Your debts'!$F$14&lt;&gt;"",'Your debts'!$F$6&lt;&gt;"",'Your debts'!$F$14&lt;'Your debts'!$F$6),AV82,0)+IF(AND('Your debts'!$F$15&lt;&gt;"",'Your debts'!$F$6&lt;&gt;"",'Your debts'!$F$15&lt;'Your debts'!$F$6),BA82,0)))))</f>
        <v/>
      </c>
      <c r="J82" s="33">
        <f>H82-I82</f>
        <v/>
      </c>
      <c r="K82" s="33">
        <f>IF(O81&lt;=0,0,ROUND(O81*(1+'Your debts'!$D$7/1200),2))</f>
        <v/>
      </c>
      <c r="L82" s="33">
        <f>IF(K82&lt;=0,0,MIN('Your debts'!$E$7,K82))</f>
        <v/>
      </c>
      <c r="M82" s="33">
        <f>K82-L82</f>
        <v/>
      </c>
      <c r="N82" s="33">
        <f>IF('Your debts'!$F$7="",0,MIN(M82,MAX(0,MAX(0,'Your debts'!$C$19-(G82+L82+Q82+V82+AA82+AF82+AK82+AP82+AU82+AZ82))-(IF(AND('Your debts'!$F$6&lt;&gt;"",'Your debts'!$F$7&lt;&gt;"",'Your debts'!$F$6&lt;'Your debts'!$F$7),H82,0)+IF(AND('Your debts'!$F$8&lt;&gt;"",'Your debts'!$F$7&lt;&gt;"",'Your debts'!$F$8&lt;'Your debts'!$F$7),R82,0)+IF(AND('Your debts'!$F$9&lt;&gt;"",'Your debts'!$F$7&lt;&gt;"",'Your debts'!$F$9&lt;'Your debts'!$F$7),W82,0)+IF(AND('Your debts'!$F$10&lt;&gt;"",'Your debts'!$F$7&lt;&gt;"",'Your debts'!$F$10&lt;'Your debts'!$F$7),AB82,0)+IF(AND('Your debts'!$F$11&lt;&gt;"",'Your debts'!$F$7&lt;&gt;"",'Your debts'!$F$11&lt;'Your debts'!$F$7),AG82,0)+IF(AND('Your debts'!$F$12&lt;&gt;"",'Your debts'!$F$7&lt;&gt;"",'Your debts'!$F$12&lt;'Your debts'!$F$7),AL82,0)+IF(AND('Your debts'!$F$13&lt;&gt;"",'Your debts'!$F$7&lt;&gt;"",'Your debts'!$F$13&lt;'Your debts'!$F$7),AQ82,0)+IF(AND('Your debts'!$F$14&lt;&gt;"",'Your debts'!$F$7&lt;&gt;"",'Your debts'!$F$14&lt;'Your debts'!$F$7),AV82,0)+IF(AND('Your debts'!$F$15&lt;&gt;"",'Your debts'!$F$7&lt;&gt;"",'Your debts'!$F$15&lt;'Your debts'!$F$7),BA82,0)))))</f>
        <v/>
      </c>
      <c r="O82" s="33">
        <f>M82-N82</f>
        <v/>
      </c>
      <c r="P82" s="33">
        <f>IF(T81&lt;=0,0,ROUND(T81*(1+'Your debts'!$D$8/1200),2))</f>
        <v/>
      </c>
      <c r="Q82" s="33">
        <f>IF(P82&lt;=0,0,MIN('Your debts'!$E$8,P82))</f>
        <v/>
      </c>
      <c r="R82" s="33">
        <f>P82-Q82</f>
        <v/>
      </c>
      <c r="S82" s="33">
        <f>IF('Your debts'!$F$8="",0,MIN(R82,MAX(0,MAX(0,'Your debts'!$C$19-(G82+L82+Q82+V82+AA82+AF82+AK82+AP82+AU82+AZ82))-(IF(AND('Your debts'!$F$6&lt;&gt;"",'Your debts'!$F$8&lt;&gt;"",'Your debts'!$F$6&lt;'Your debts'!$F$8),H82,0)+IF(AND('Your debts'!$F$7&lt;&gt;"",'Your debts'!$F$8&lt;&gt;"",'Your debts'!$F$7&lt;'Your debts'!$F$8),M82,0)+IF(AND('Your debts'!$F$9&lt;&gt;"",'Your debts'!$F$8&lt;&gt;"",'Your debts'!$F$9&lt;'Your debts'!$F$8),W82,0)+IF(AND('Your debts'!$F$10&lt;&gt;"",'Your debts'!$F$8&lt;&gt;"",'Your debts'!$F$10&lt;'Your debts'!$F$8),AB82,0)+IF(AND('Your debts'!$F$11&lt;&gt;"",'Your debts'!$F$8&lt;&gt;"",'Your debts'!$F$11&lt;'Your debts'!$F$8),AG82,0)+IF(AND('Your debts'!$F$12&lt;&gt;"",'Your debts'!$F$8&lt;&gt;"",'Your debts'!$F$12&lt;'Your debts'!$F$8),AL82,0)+IF(AND('Your debts'!$F$13&lt;&gt;"",'Your debts'!$F$8&lt;&gt;"",'Your debts'!$F$13&lt;'Your debts'!$F$8),AQ82,0)+IF(AND('Your debts'!$F$14&lt;&gt;"",'Your debts'!$F$8&lt;&gt;"",'Your debts'!$F$14&lt;'Your debts'!$F$8),AV82,0)+IF(AND('Your debts'!$F$15&lt;&gt;"",'Your debts'!$F$8&lt;&gt;"",'Your debts'!$F$15&lt;'Your debts'!$F$8),BA82,0)))))</f>
        <v/>
      </c>
      <c r="T82" s="33">
        <f>R82-S82</f>
        <v/>
      </c>
      <c r="U82" s="33">
        <f>IF(Y81&lt;=0,0,ROUND(Y81*(1+'Your debts'!$D$9/1200),2))</f>
        <v/>
      </c>
      <c r="V82" s="33">
        <f>IF(U82&lt;=0,0,MIN('Your debts'!$E$9,U82))</f>
        <v/>
      </c>
      <c r="W82" s="33">
        <f>U82-V82</f>
        <v/>
      </c>
      <c r="X82" s="33">
        <f>IF('Your debts'!$F$9="",0,MIN(W82,MAX(0,MAX(0,'Your debts'!$C$19-(G82+L82+Q82+V82+AA82+AF82+AK82+AP82+AU82+AZ82))-(IF(AND('Your debts'!$F$6&lt;&gt;"",'Your debts'!$F$9&lt;&gt;"",'Your debts'!$F$6&lt;'Your debts'!$F$9),H82,0)+IF(AND('Your debts'!$F$7&lt;&gt;"",'Your debts'!$F$9&lt;&gt;"",'Your debts'!$F$7&lt;'Your debts'!$F$9),M82,0)+IF(AND('Your debts'!$F$8&lt;&gt;"",'Your debts'!$F$9&lt;&gt;"",'Your debts'!$F$8&lt;'Your debts'!$F$9),R82,0)+IF(AND('Your debts'!$F$10&lt;&gt;"",'Your debts'!$F$9&lt;&gt;"",'Your debts'!$F$10&lt;'Your debts'!$F$9),AB82,0)+IF(AND('Your debts'!$F$11&lt;&gt;"",'Your debts'!$F$9&lt;&gt;"",'Your debts'!$F$11&lt;'Your debts'!$F$9),AG82,0)+IF(AND('Your debts'!$F$12&lt;&gt;"",'Your debts'!$F$9&lt;&gt;"",'Your debts'!$F$12&lt;'Your debts'!$F$9),AL82,0)+IF(AND('Your debts'!$F$13&lt;&gt;"",'Your debts'!$F$9&lt;&gt;"",'Your debts'!$F$13&lt;'Your debts'!$F$9),AQ82,0)+IF(AND('Your debts'!$F$14&lt;&gt;"",'Your debts'!$F$9&lt;&gt;"",'Your debts'!$F$14&lt;'Your debts'!$F$9),AV82,0)+IF(AND('Your debts'!$F$15&lt;&gt;"",'Your debts'!$F$9&lt;&gt;"",'Your debts'!$F$15&lt;'Your debts'!$F$9),BA82,0)))))</f>
        <v/>
      </c>
      <c r="Y82" s="33">
        <f>W82-X82</f>
        <v/>
      </c>
      <c r="Z82" s="33">
        <f>IF(AD81&lt;=0,0,ROUND(AD81*(1+'Your debts'!$D$10/1200),2))</f>
        <v/>
      </c>
      <c r="AA82" s="33">
        <f>IF(Z82&lt;=0,0,MIN('Your debts'!$E$10,Z82))</f>
        <v/>
      </c>
      <c r="AB82" s="33">
        <f>Z82-AA82</f>
        <v/>
      </c>
      <c r="AC82" s="33">
        <f>IF('Your debts'!$F$10="",0,MIN(AB82,MAX(0,MAX(0,'Your debts'!$C$19-(G82+L82+Q82+V82+AA82+AF82+AK82+AP82+AU82+AZ82))-(IF(AND('Your debts'!$F$6&lt;&gt;"",'Your debts'!$F$10&lt;&gt;"",'Your debts'!$F$6&lt;'Your debts'!$F$10),H82,0)+IF(AND('Your debts'!$F$7&lt;&gt;"",'Your debts'!$F$10&lt;&gt;"",'Your debts'!$F$7&lt;'Your debts'!$F$10),M82,0)+IF(AND('Your debts'!$F$8&lt;&gt;"",'Your debts'!$F$10&lt;&gt;"",'Your debts'!$F$8&lt;'Your debts'!$F$10),R82,0)+IF(AND('Your debts'!$F$9&lt;&gt;"",'Your debts'!$F$10&lt;&gt;"",'Your debts'!$F$9&lt;'Your debts'!$F$10),W82,0)+IF(AND('Your debts'!$F$11&lt;&gt;"",'Your debts'!$F$10&lt;&gt;"",'Your debts'!$F$11&lt;'Your debts'!$F$10),AG82,0)+IF(AND('Your debts'!$F$12&lt;&gt;"",'Your debts'!$F$10&lt;&gt;"",'Your debts'!$F$12&lt;'Your debts'!$F$10),AL82,0)+IF(AND('Your debts'!$F$13&lt;&gt;"",'Your debts'!$F$10&lt;&gt;"",'Your debts'!$F$13&lt;'Your debts'!$F$10),AQ82,0)+IF(AND('Your debts'!$F$14&lt;&gt;"",'Your debts'!$F$10&lt;&gt;"",'Your debts'!$F$14&lt;'Your debts'!$F$10),AV82,0)+IF(AND('Your debts'!$F$15&lt;&gt;"",'Your debts'!$F$10&lt;&gt;"",'Your debts'!$F$15&lt;'Your debts'!$F$10),BA82,0)))))</f>
        <v/>
      </c>
      <c r="AD82" s="33">
        <f>AB82-AC82</f>
        <v/>
      </c>
      <c r="AE82" s="33">
        <f>IF(AI81&lt;=0,0,ROUND(AI81*(1+'Your debts'!$D$11/1200),2))</f>
        <v/>
      </c>
      <c r="AF82" s="33">
        <f>IF(AE82&lt;=0,0,MIN('Your debts'!$E$11,AE82))</f>
        <v/>
      </c>
      <c r="AG82" s="33">
        <f>AE82-AF82</f>
        <v/>
      </c>
      <c r="AH82" s="33">
        <f>IF('Your debts'!$F$11="",0,MIN(AG82,MAX(0,MAX(0,'Your debts'!$C$19-(G82+L82+Q82+V82+AA82+AF82+AK82+AP82+AU82+AZ82))-(IF(AND('Your debts'!$F$6&lt;&gt;"",'Your debts'!$F$11&lt;&gt;"",'Your debts'!$F$6&lt;'Your debts'!$F$11),H82,0)+IF(AND('Your debts'!$F$7&lt;&gt;"",'Your debts'!$F$11&lt;&gt;"",'Your debts'!$F$7&lt;'Your debts'!$F$11),M82,0)+IF(AND('Your debts'!$F$8&lt;&gt;"",'Your debts'!$F$11&lt;&gt;"",'Your debts'!$F$8&lt;'Your debts'!$F$11),R82,0)+IF(AND('Your debts'!$F$9&lt;&gt;"",'Your debts'!$F$11&lt;&gt;"",'Your debts'!$F$9&lt;'Your debts'!$F$11),W82,0)+IF(AND('Your debts'!$F$10&lt;&gt;"",'Your debts'!$F$11&lt;&gt;"",'Your debts'!$F$10&lt;'Your debts'!$F$11),AB82,0)+IF(AND('Your debts'!$F$12&lt;&gt;"",'Your debts'!$F$11&lt;&gt;"",'Your debts'!$F$12&lt;'Your debts'!$F$11),AL82,0)+IF(AND('Your debts'!$F$13&lt;&gt;"",'Your debts'!$F$11&lt;&gt;"",'Your debts'!$F$13&lt;'Your debts'!$F$11),AQ82,0)+IF(AND('Your debts'!$F$14&lt;&gt;"",'Your debts'!$F$11&lt;&gt;"",'Your debts'!$F$14&lt;'Your debts'!$F$11),AV82,0)+IF(AND('Your debts'!$F$15&lt;&gt;"",'Your debts'!$F$11&lt;&gt;"",'Your debts'!$F$15&lt;'Your debts'!$F$11),BA82,0)))))</f>
        <v/>
      </c>
      <c r="AI82" s="33">
        <f>AG82-AH82</f>
        <v/>
      </c>
      <c r="AJ82" s="33">
        <f>IF(AN81&lt;=0,0,ROUND(AN81*(1+'Your debts'!$D$12/1200),2))</f>
        <v/>
      </c>
      <c r="AK82" s="33">
        <f>IF(AJ82&lt;=0,0,MIN('Your debts'!$E$12,AJ82))</f>
        <v/>
      </c>
      <c r="AL82" s="33">
        <f>AJ82-AK82</f>
        <v/>
      </c>
      <c r="AM82" s="33">
        <f>IF('Your debts'!$F$12="",0,MIN(AL82,MAX(0,MAX(0,'Your debts'!$C$19-(G82+L82+Q82+V82+AA82+AF82+AK82+AP82+AU82+AZ82))-(IF(AND('Your debts'!$F$6&lt;&gt;"",'Your debts'!$F$12&lt;&gt;"",'Your debts'!$F$6&lt;'Your debts'!$F$12),H82,0)+IF(AND('Your debts'!$F$7&lt;&gt;"",'Your debts'!$F$12&lt;&gt;"",'Your debts'!$F$7&lt;'Your debts'!$F$12),M82,0)+IF(AND('Your debts'!$F$8&lt;&gt;"",'Your debts'!$F$12&lt;&gt;"",'Your debts'!$F$8&lt;'Your debts'!$F$12),R82,0)+IF(AND('Your debts'!$F$9&lt;&gt;"",'Your debts'!$F$12&lt;&gt;"",'Your debts'!$F$9&lt;'Your debts'!$F$12),W82,0)+IF(AND('Your debts'!$F$10&lt;&gt;"",'Your debts'!$F$12&lt;&gt;"",'Your debts'!$F$10&lt;'Your debts'!$F$12),AB82,0)+IF(AND('Your debts'!$F$11&lt;&gt;"",'Your debts'!$F$12&lt;&gt;"",'Your debts'!$F$11&lt;'Your debts'!$F$12),AG82,0)+IF(AND('Your debts'!$F$13&lt;&gt;"",'Your debts'!$F$12&lt;&gt;"",'Your debts'!$F$13&lt;'Your debts'!$F$12),AQ82,0)+IF(AND('Your debts'!$F$14&lt;&gt;"",'Your debts'!$F$12&lt;&gt;"",'Your debts'!$F$14&lt;'Your debts'!$F$12),AV82,0)+IF(AND('Your debts'!$F$15&lt;&gt;"",'Your debts'!$F$12&lt;&gt;"",'Your debts'!$F$15&lt;'Your debts'!$F$12),BA82,0)))))</f>
        <v/>
      </c>
      <c r="AN82" s="33">
        <f>AL82-AM82</f>
        <v/>
      </c>
      <c r="AO82" s="33">
        <f>IF(AS81&lt;=0,0,ROUND(AS81*(1+'Your debts'!$D$13/1200),2))</f>
        <v/>
      </c>
      <c r="AP82" s="33">
        <f>IF(AO82&lt;=0,0,MIN('Your debts'!$E$13,AO82))</f>
        <v/>
      </c>
      <c r="AQ82" s="33">
        <f>AO82-AP82</f>
        <v/>
      </c>
      <c r="AR82" s="33">
        <f>IF('Your debts'!$F$13="",0,MIN(AQ82,MAX(0,MAX(0,'Your debts'!$C$19-(G82+L82+Q82+V82+AA82+AF82+AK82+AP82+AU82+AZ82))-(IF(AND('Your debts'!$F$6&lt;&gt;"",'Your debts'!$F$13&lt;&gt;"",'Your debts'!$F$6&lt;'Your debts'!$F$13),H82,0)+IF(AND('Your debts'!$F$7&lt;&gt;"",'Your debts'!$F$13&lt;&gt;"",'Your debts'!$F$7&lt;'Your debts'!$F$13),M82,0)+IF(AND('Your debts'!$F$8&lt;&gt;"",'Your debts'!$F$13&lt;&gt;"",'Your debts'!$F$8&lt;'Your debts'!$F$13),R82,0)+IF(AND('Your debts'!$F$9&lt;&gt;"",'Your debts'!$F$13&lt;&gt;"",'Your debts'!$F$9&lt;'Your debts'!$F$13),W82,0)+IF(AND('Your debts'!$F$10&lt;&gt;"",'Your debts'!$F$13&lt;&gt;"",'Your debts'!$F$10&lt;'Your debts'!$F$13),AB82,0)+IF(AND('Your debts'!$F$11&lt;&gt;"",'Your debts'!$F$13&lt;&gt;"",'Your debts'!$F$11&lt;'Your debts'!$F$13),AG82,0)+IF(AND('Your debts'!$F$12&lt;&gt;"",'Your debts'!$F$13&lt;&gt;"",'Your debts'!$F$12&lt;'Your debts'!$F$13),AL82,0)+IF(AND('Your debts'!$F$14&lt;&gt;"",'Your debts'!$F$13&lt;&gt;"",'Your debts'!$F$14&lt;'Your debts'!$F$13),AV82,0)+IF(AND('Your debts'!$F$15&lt;&gt;"",'Your debts'!$F$13&lt;&gt;"",'Your debts'!$F$15&lt;'Your debts'!$F$13),BA82,0)))))</f>
        <v/>
      </c>
      <c r="AS82" s="33">
        <f>AQ82-AR82</f>
        <v/>
      </c>
      <c r="AT82" s="33">
        <f>IF(AX81&lt;=0,0,ROUND(AX81*(1+'Your debts'!$D$14/1200),2))</f>
        <v/>
      </c>
      <c r="AU82" s="33">
        <f>IF(AT82&lt;=0,0,MIN('Your debts'!$E$14,AT82))</f>
        <v/>
      </c>
      <c r="AV82" s="33">
        <f>AT82-AU82</f>
        <v/>
      </c>
      <c r="AW82" s="33">
        <f>IF('Your debts'!$F$14="",0,MIN(AV82,MAX(0,MAX(0,'Your debts'!$C$19-(G82+L82+Q82+V82+AA82+AF82+AK82+AP82+AU82+AZ82))-(IF(AND('Your debts'!$F$6&lt;&gt;"",'Your debts'!$F$14&lt;&gt;"",'Your debts'!$F$6&lt;'Your debts'!$F$14),H82,0)+IF(AND('Your debts'!$F$7&lt;&gt;"",'Your debts'!$F$14&lt;&gt;"",'Your debts'!$F$7&lt;'Your debts'!$F$14),M82,0)+IF(AND('Your debts'!$F$8&lt;&gt;"",'Your debts'!$F$14&lt;&gt;"",'Your debts'!$F$8&lt;'Your debts'!$F$14),R82,0)+IF(AND('Your debts'!$F$9&lt;&gt;"",'Your debts'!$F$14&lt;&gt;"",'Your debts'!$F$9&lt;'Your debts'!$F$14),W82,0)+IF(AND('Your debts'!$F$10&lt;&gt;"",'Your debts'!$F$14&lt;&gt;"",'Your debts'!$F$10&lt;'Your debts'!$F$14),AB82,0)+IF(AND('Your debts'!$F$11&lt;&gt;"",'Your debts'!$F$14&lt;&gt;"",'Your debts'!$F$11&lt;'Your debts'!$F$14),AG82,0)+IF(AND('Your debts'!$F$12&lt;&gt;"",'Your debts'!$F$14&lt;&gt;"",'Your debts'!$F$12&lt;'Your debts'!$F$14),AL82,0)+IF(AND('Your debts'!$F$13&lt;&gt;"",'Your debts'!$F$14&lt;&gt;"",'Your debts'!$F$13&lt;'Your debts'!$F$14),AQ82,0)+IF(AND('Your debts'!$F$15&lt;&gt;"",'Your debts'!$F$14&lt;&gt;"",'Your debts'!$F$15&lt;'Your debts'!$F$14),BA82,0)))))</f>
        <v/>
      </c>
      <c r="AX82" s="33">
        <f>AV82-AW82</f>
        <v/>
      </c>
      <c r="AY82" s="33">
        <f>IF(BC81&lt;=0,0,ROUND(BC81*(1+'Your debts'!$D$15/1200),2))</f>
        <v/>
      </c>
      <c r="AZ82" s="33">
        <f>IF(AY82&lt;=0,0,MIN('Your debts'!$E$15,AY82))</f>
        <v/>
      </c>
      <c r="BA82" s="33">
        <f>AY82-AZ82</f>
        <v/>
      </c>
      <c r="BB82" s="33">
        <f>IF('Your debts'!$F$15="",0,MIN(BA82,MAX(0,MAX(0,'Your debts'!$C$19-(G82+L82+Q82+V82+AA82+AF82+AK82+AP82+AU82+AZ82))-(IF(AND('Your debts'!$F$6&lt;&gt;"",'Your debts'!$F$15&lt;&gt;"",'Your debts'!$F$6&lt;'Your debts'!$F$15),H82,0)+IF(AND('Your debts'!$F$7&lt;&gt;"",'Your debts'!$F$15&lt;&gt;"",'Your debts'!$F$7&lt;'Your debts'!$F$15),M82,0)+IF(AND('Your debts'!$F$8&lt;&gt;"",'Your debts'!$F$15&lt;&gt;"",'Your debts'!$F$8&lt;'Your debts'!$F$15),R82,0)+IF(AND('Your debts'!$F$9&lt;&gt;"",'Your debts'!$F$15&lt;&gt;"",'Your debts'!$F$9&lt;'Your debts'!$F$15),W82,0)+IF(AND('Your debts'!$F$10&lt;&gt;"",'Your debts'!$F$15&lt;&gt;"",'Your debts'!$F$10&lt;'Your debts'!$F$15),AB82,0)+IF(AND('Your debts'!$F$11&lt;&gt;"",'Your debts'!$F$15&lt;&gt;"",'Your debts'!$F$11&lt;'Your debts'!$F$15),AG82,0)+IF(AND('Your debts'!$F$12&lt;&gt;"",'Your debts'!$F$15&lt;&gt;"",'Your debts'!$F$12&lt;'Your debts'!$F$15),AL82,0)+IF(AND('Your debts'!$F$13&lt;&gt;"",'Your debts'!$F$15&lt;&gt;"",'Your debts'!$F$13&lt;'Your debts'!$F$15),AQ82,0)+IF(AND('Your debts'!$F$14&lt;&gt;"",'Your debts'!$F$15&lt;&gt;"",'Your debts'!$F$14&lt;'Your debts'!$F$15),AV82,0)))))</f>
        <v/>
      </c>
      <c r="BC82" s="33">
        <f>BA82-BB82</f>
        <v/>
      </c>
    </row>
    <row r="83">
      <c r="A83" s="30" t="n">
        <v>68</v>
      </c>
      <c r="B83" s="31">
        <f>EDATE($B$15,68)</f>
        <v/>
      </c>
      <c r="C83" s="32">
        <f>IF(J82&lt;=0,0,F83-J82)+IF(O82&lt;=0,0,K83-O82)+IF(T82&lt;=0,0,P83-T82)+IF(Y82&lt;=0,0,U83-Y82)+IF(AD82&lt;=0,0,Z83-AD82)+IF(AI82&lt;=0,0,AE83-AI82)+IF(AN82&lt;=0,0,AJ83-AN82)+IF(AS82&lt;=0,0,AO83-AS82)+IF(AX82&lt;=0,0,AT83-AX82)+IF(BC82&lt;=0,0,AY83-BC82)</f>
        <v/>
      </c>
      <c r="D83" s="32">
        <f>G83+I83+L83+N83+Q83+S83+V83+X83+AA83+AC83+AF83+AH83+AK83+AM83+AP83+AR83+AU83+AW83+AZ83+BB83</f>
        <v/>
      </c>
      <c r="E83" s="32">
        <f>J83+O83+T83+Y83+AD83+AI83+AN83+AS83+AX83+BC83</f>
        <v/>
      </c>
      <c r="F83" s="33">
        <f>IF(J82&lt;=0,0,ROUND(J82*(1+'Your debts'!$D$6/1200),2))</f>
        <v/>
      </c>
      <c r="G83" s="33">
        <f>IF(F83&lt;=0,0,MIN('Your debts'!$E$6,F83))</f>
        <v/>
      </c>
      <c r="H83" s="33">
        <f>F83-G83</f>
        <v/>
      </c>
      <c r="I83" s="33">
        <f>IF('Your debts'!$F$6="",0,MIN(H83,MAX(0,MAX(0,'Your debts'!$C$19-(G83+L83+Q83+V83+AA83+AF83+AK83+AP83+AU83+AZ83))-(IF(AND('Your debts'!$F$7&lt;&gt;"",'Your debts'!$F$6&lt;&gt;"",'Your debts'!$F$7&lt;'Your debts'!$F$6),M83,0)+IF(AND('Your debts'!$F$8&lt;&gt;"",'Your debts'!$F$6&lt;&gt;"",'Your debts'!$F$8&lt;'Your debts'!$F$6),R83,0)+IF(AND('Your debts'!$F$9&lt;&gt;"",'Your debts'!$F$6&lt;&gt;"",'Your debts'!$F$9&lt;'Your debts'!$F$6),W83,0)+IF(AND('Your debts'!$F$10&lt;&gt;"",'Your debts'!$F$6&lt;&gt;"",'Your debts'!$F$10&lt;'Your debts'!$F$6),AB83,0)+IF(AND('Your debts'!$F$11&lt;&gt;"",'Your debts'!$F$6&lt;&gt;"",'Your debts'!$F$11&lt;'Your debts'!$F$6),AG83,0)+IF(AND('Your debts'!$F$12&lt;&gt;"",'Your debts'!$F$6&lt;&gt;"",'Your debts'!$F$12&lt;'Your debts'!$F$6),AL83,0)+IF(AND('Your debts'!$F$13&lt;&gt;"",'Your debts'!$F$6&lt;&gt;"",'Your debts'!$F$13&lt;'Your debts'!$F$6),AQ83,0)+IF(AND('Your debts'!$F$14&lt;&gt;"",'Your debts'!$F$6&lt;&gt;"",'Your debts'!$F$14&lt;'Your debts'!$F$6),AV83,0)+IF(AND('Your debts'!$F$15&lt;&gt;"",'Your debts'!$F$6&lt;&gt;"",'Your debts'!$F$15&lt;'Your debts'!$F$6),BA83,0)))))</f>
        <v/>
      </c>
      <c r="J83" s="33">
        <f>H83-I83</f>
        <v/>
      </c>
      <c r="K83" s="33">
        <f>IF(O82&lt;=0,0,ROUND(O82*(1+'Your debts'!$D$7/1200),2))</f>
        <v/>
      </c>
      <c r="L83" s="33">
        <f>IF(K83&lt;=0,0,MIN('Your debts'!$E$7,K83))</f>
        <v/>
      </c>
      <c r="M83" s="33">
        <f>K83-L83</f>
        <v/>
      </c>
      <c r="N83" s="33">
        <f>IF('Your debts'!$F$7="",0,MIN(M83,MAX(0,MAX(0,'Your debts'!$C$19-(G83+L83+Q83+V83+AA83+AF83+AK83+AP83+AU83+AZ83))-(IF(AND('Your debts'!$F$6&lt;&gt;"",'Your debts'!$F$7&lt;&gt;"",'Your debts'!$F$6&lt;'Your debts'!$F$7),H83,0)+IF(AND('Your debts'!$F$8&lt;&gt;"",'Your debts'!$F$7&lt;&gt;"",'Your debts'!$F$8&lt;'Your debts'!$F$7),R83,0)+IF(AND('Your debts'!$F$9&lt;&gt;"",'Your debts'!$F$7&lt;&gt;"",'Your debts'!$F$9&lt;'Your debts'!$F$7),W83,0)+IF(AND('Your debts'!$F$10&lt;&gt;"",'Your debts'!$F$7&lt;&gt;"",'Your debts'!$F$10&lt;'Your debts'!$F$7),AB83,0)+IF(AND('Your debts'!$F$11&lt;&gt;"",'Your debts'!$F$7&lt;&gt;"",'Your debts'!$F$11&lt;'Your debts'!$F$7),AG83,0)+IF(AND('Your debts'!$F$12&lt;&gt;"",'Your debts'!$F$7&lt;&gt;"",'Your debts'!$F$12&lt;'Your debts'!$F$7),AL83,0)+IF(AND('Your debts'!$F$13&lt;&gt;"",'Your debts'!$F$7&lt;&gt;"",'Your debts'!$F$13&lt;'Your debts'!$F$7),AQ83,0)+IF(AND('Your debts'!$F$14&lt;&gt;"",'Your debts'!$F$7&lt;&gt;"",'Your debts'!$F$14&lt;'Your debts'!$F$7),AV83,0)+IF(AND('Your debts'!$F$15&lt;&gt;"",'Your debts'!$F$7&lt;&gt;"",'Your debts'!$F$15&lt;'Your debts'!$F$7),BA83,0)))))</f>
        <v/>
      </c>
      <c r="O83" s="33">
        <f>M83-N83</f>
        <v/>
      </c>
      <c r="P83" s="33">
        <f>IF(T82&lt;=0,0,ROUND(T82*(1+'Your debts'!$D$8/1200),2))</f>
        <v/>
      </c>
      <c r="Q83" s="33">
        <f>IF(P83&lt;=0,0,MIN('Your debts'!$E$8,P83))</f>
        <v/>
      </c>
      <c r="R83" s="33">
        <f>P83-Q83</f>
        <v/>
      </c>
      <c r="S83" s="33">
        <f>IF('Your debts'!$F$8="",0,MIN(R83,MAX(0,MAX(0,'Your debts'!$C$19-(G83+L83+Q83+V83+AA83+AF83+AK83+AP83+AU83+AZ83))-(IF(AND('Your debts'!$F$6&lt;&gt;"",'Your debts'!$F$8&lt;&gt;"",'Your debts'!$F$6&lt;'Your debts'!$F$8),H83,0)+IF(AND('Your debts'!$F$7&lt;&gt;"",'Your debts'!$F$8&lt;&gt;"",'Your debts'!$F$7&lt;'Your debts'!$F$8),M83,0)+IF(AND('Your debts'!$F$9&lt;&gt;"",'Your debts'!$F$8&lt;&gt;"",'Your debts'!$F$9&lt;'Your debts'!$F$8),W83,0)+IF(AND('Your debts'!$F$10&lt;&gt;"",'Your debts'!$F$8&lt;&gt;"",'Your debts'!$F$10&lt;'Your debts'!$F$8),AB83,0)+IF(AND('Your debts'!$F$11&lt;&gt;"",'Your debts'!$F$8&lt;&gt;"",'Your debts'!$F$11&lt;'Your debts'!$F$8),AG83,0)+IF(AND('Your debts'!$F$12&lt;&gt;"",'Your debts'!$F$8&lt;&gt;"",'Your debts'!$F$12&lt;'Your debts'!$F$8),AL83,0)+IF(AND('Your debts'!$F$13&lt;&gt;"",'Your debts'!$F$8&lt;&gt;"",'Your debts'!$F$13&lt;'Your debts'!$F$8),AQ83,0)+IF(AND('Your debts'!$F$14&lt;&gt;"",'Your debts'!$F$8&lt;&gt;"",'Your debts'!$F$14&lt;'Your debts'!$F$8),AV83,0)+IF(AND('Your debts'!$F$15&lt;&gt;"",'Your debts'!$F$8&lt;&gt;"",'Your debts'!$F$15&lt;'Your debts'!$F$8),BA83,0)))))</f>
        <v/>
      </c>
      <c r="T83" s="33">
        <f>R83-S83</f>
        <v/>
      </c>
      <c r="U83" s="33">
        <f>IF(Y82&lt;=0,0,ROUND(Y82*(1+'Your debts'!$D$9/1200),2))</f>
        <v/>
      </c>
      <c r="V83" s="33">
        <f>IF(U83&lt;=0,0,MIN('Your debts'!$E$9,U83))</f>
        <v/>
      </c>
      <c r="W83" s="33">
        <f>U83-V83</f>
        <v/>
      </c>
      <c r="X83" s="33">
        <f>IF('Your debts'!$F$9="",0,MIN(W83,MAX(0,MAX(0,'Your debts'!$C$19-(G83+L83+Q83+V83+AA83+AF83+AK83+AP83+AU83+AZ83))-(IF(AND('Your debts'!$F$6&lt;&gt;"",'Your debts'!$F$9&lt;&gt;"",'Your debts'!$F$6&lt;'Your debts'!$F$9),H83,0)+IF(AND('Your debts'!$F$7&lt;&gt;"",'Your debts'!$F$9&lt;&gt;"",'Your debts'!$F$7&lt;'Your debts'!$F$9),M83,0)+IF(AND('Your debts'!$F$8&lt;&gt;"",'Your debts'!$F$9&lt;&gt;"",'Your debts'!$F$8&lt;'Your debts'!$F$9),R83,0)+IF(AND('Your debts'!$F$10&lt;&gt;"",'Your debts'!$F$9&lt;&gt;"",'Your debts'!$F$10&lt;'Your debts'!$F$9),AB83,0)+IF(AND('Your debts'!$F$11&lt;&gt;"",'Your debts'!$F$9&lt;&gt;"",'Your debts'!$F$11&lt;'Your debts'!$F$9),AG83,0)+IF(AND('Your debts'!$F$12&lt;&gt;"",'Your debts'!$F$9&lt;&gt;"",'Your debts'!$F$12&lt;'Your debts'!$F$9),AL83,0)+IF(AND('Your debts'!$F$13&lt;&gt;"",'Your debts'!$F$9&lt;&gt;"",'Your debts'!$F$13&lt;'Your debts'!$F$9),AQ83,0)+IF(AND('Your debts'!$F$14&lt;&gt;"",'Your debts'!$F$9&lt;&gt;"",'Your debts'!$F$14&lt;'Your debts'!$F$9),AV83,0)+IF(AND('Your debts'!$F$15&lt;&gt;"",'Your debts'!$F$9&lt;&gt;"",'Your debts'!$F$15&lt;'Your debts'!$F$9),BA83,0)))))</f>
        <v/>
      </c>
      <c r="Y83" s="33">
        <f>W83-X83</f>
        <v/>
      </c>
      <c r="Z83" s="33">
        <f>IF(AD82&lt;=0,0,ROUND(AD82*(1+'Your debts'!$D$10/1200),2))</f>
        <v/>
      </c>
      <c r="AA83" s="33">
        <f>IF(Z83&lt;=0,0,MIN('Your debts'!$E$10,Z83))</f>
        <v/>
      </c>
      <c r="AB83" s="33">
        <f>Z83-AA83</f>
        <v/>
      </c>
      <c r="AC83" s="33">
        <f>IF('Your debts'!$F$10="",0,MIN(AB83,MAX(0,MAX(0,'Your debts'!$C$19-(G83+L83+Q83+V83+AA83+AF83+AK83+AP83+AU83+AZ83))-(IF(AND('Your debts'!$F$6&lt;&gt;"",'Your debts'!$F$10&lt;&gt;"",'Your debts'!$F$6&lt;'Your debts'!$F$10),H83,0)+IF(AND('Your debts'!$F$7&lt;&gt;"",'Your debts'!$F$10&lt;&gt;"",'Your debts'!$F$7&lt;'Your debts'!$F$10),M83,0)+IF(AND('Your debts'!$F$8&lt;&gt;"",'Your debts'!$F$10&lt;&gt;"",'Your debts'!$F$8&lt;'Your debts'!$F$10),R83,0)+IF(AND('Your debts'!$F$9&lt;&gt;"",'Your debts'!$F$10&lt;&gt;"",'Your debts'!$F$9&lt;'Your debts'!$F$10),W83,0)+IF(AND('Your debts'!$F$11&lt;&gt;"",'Your debts'!$F$10&lt;&gt;"",'Your debts'!$F$11&lt;'Your debts'!$F$10),AG83,0)+IF(AND('Your debts'!$F$12&lt;&gt;"",'Your debts'!$F$10&lt;&gt;"",'Your debts'!$F$12&lt;'Your debts'!$F$10),AL83,0)+IF(AND('Your debts'!$F$13&lt;&gt;"",'Your debts'!$F$10&lt;&gt;"",'Your debts'!$F$13&lt;'Your debts'!$F$10),AQ83,0)+IF(AND('Your debts'!$F$14&lt;&gt;"",'Your debts'!$F$10&lt;&gt;"",'Your debts'!$F$14&lt;'Your debts'!$F$10),AV83,0)+IF(AND('Your debts'!$F$15&lt;&gt;"",'Your debts'!$F$10&lt;&gt;"",'Your debts'!$F$15&lt;'Your debts'!$F$10),BA83,0)))))</f>
        <v/>
      </c>
      <c r="AD83" s="33">
        <f>AB83-AC83</f>
        <v/>
      </c>
      <c r="AE83" s="33">
        <f>IF(AI82&lt;=0,0,ROUND(AI82*(1+'Your debts'!$D$11/1200),2))</f>
        <v/>
      </c>
      <c r="AF83" s="33">
        <f>IF(AE83&lt;=0,0,MIN('Your debts'!$E$11,AE83))</f>
        <v/>
      </c>
      <c r="AG83" s="33">
        <f>AE83-AF83</f>
        <v/>
      </c>
      <c r="AH83" s="33">
        <f>IF('Your debts'!$F$11="",0,MIN(AG83,MAX(0,MAX(0,'Your debts'!$C$19-(G83+L83+Q83+V83+AA83+AF83+AK83+AP83+AU83+AZ83))-(IF(AND('Your debts'!$F$6&lt;&gt;"",'Your debts'!$F$11&lt;&gt;"",'Your debts'!$F$6&lt;'Your debts'!$F$11),H83,0)+IF(AND('Your debts'!$F$7&lt;&gt;"",'Your debts'!$F$11&lt;&gt;"",'Your debts'!$F$7&lt;'Your debts'!$F$11),M83,0)+IF(AND('Your debts'!$F$8&lt;&gt;"",'Your debts'!$F$11&lt;&gt;"",'Your debts'!$F$8&lt;'Your debts'!$F$11),R83,0)+IF(AND('Your debts'!$F$9&lt;&gt;"",'Your debts'!$F$11&lt;&gt;"",'Your debts'!$F$9&lt;'Your debts'!$F$11),W83,0)+IF(AND('Your debts'!$F$10&lt;&gt;"",'Your debts'!$F$11&lt;&gt;"",'Your debts'!$F$10&lt;'Your debts'!$F$11),AB83,0)+IF(AND('Your debts'!$F$12&lt;&gt;"",'Your debts'!$F$11&lt;&gt;"",'Your debts'!$F$12&lt;'Your debts'!$F$11),AL83,0)+IF(AND('Your debts'!$F$13&lt;&gt;"",'Your debts'!$F$11&lt;&gt;"",'Your debts'!$F$13&lt;'Your debts'!$F$11),AQ83,0)+IF(AND('Your debts'!$F$14&lt;&gt;"",'Your debts'!$F$11&lt;&gt;"",'Your debts'!$F$14&lt;'Your debts'!$F$11),AV83,0)+IF(AND('Your debts'!$F$15&lt;&gt;"",'Your debts'!$F$11&lt;&gt;"",'Your debts'!$F$15&lt;'Your debts'!$F$11),BA83,0)))))</f>
        <v/>
      </c>
      <c r="AI83" s="33">
        <f>AG83-AH83</f>
        <v/>
      </c>
      <c r="AJ83" s="33">
        <f>IF(AN82&lt;=0,0,ROUND(AN82*(1+'Your debts'!$D$12/1200),2))</f>
        <v/>
      </c>
      <c r="AK83" s="33">
        <f>IF(AJ83&lt;=0,0,MIN('Your debts'!$E$12,AJ83))</f>
        <v/>
      </c>
      <c r="AL83" s="33">
        <f>AJ83-AK83</f>
        <v/>
      </c>
      <c r="AM83" s="33">
        <f>IF('Your debts'!$F$12="",0,MIN(AL83,MAX(0,MAX(0,'Your debts'!$C$19-(G83+L83+Q83+V83+AA83+AF83+AK83+AP83+AU83+AZ83))-(IF(AND('Your debts'!$F$6&lt;&gt;"",'Your debts'!$F$12&lt;&gt;"",'Your debts'!$F$6&lt;'Your debts'!$F$12),H83,0)+IF(AND('Your debts'!$F$7&lt;&gt;"",'Your debts'!$F$12&lt;&gt;"",'Your debts'!$F$7&lt;'Your debts'!$F$12),M83,0)+IF(AND('Your debts'!$F$8&lt;&gt;"",'Your debts'!$F$12&lt;&gt;"",'Your debts'!$F$8&lt;'Your debts'!$F$12),R83,0)+IF(AND('Your debts'!$F$9&lt;&gt;"",'Your debts'!$F$12&lt;&gt;"",'Your debts'!$F$9&lt;'Your debts'!$F$12),W83,0)+IF(AND('Your debts'!$F$10&lt;&gt;"",'Your debts'!$F$12&lt;&gt;"",'Your debts'!$F$10&lt;'Your debts'!$F$12),AB83,0)+IF(AND('Your debts'!$F$11&lt;&gt;"",'Your debts'!$F$12&lt;&gt;"",'Your debts'!$F$11&lt;'Your debts'!$F$12),AG83,0)+IF(AND('Your debts'!$F$13&lt;&gt;"",'Your debts'!$F$12&lt;&gt;"",'Your debts'!$F$13&lt;'Your debts'!$F$12),AQ83,0)+IF(AND('Your debts'!$F$14&lt;&gt;"",'Your debts'!$F$12&lt;&gt;"",'Your debts'!$F$14&lt;'Your debts'!$F$12),AV83,0)+IF(AND('Your debts'!$F$15&lt;&gt;"",'Your debts'!$F$12&lt;&gt;"",'Your debts'!$F$15&lt;'Your debts'!$F$12),BA83,0)))))</f>
        <v/>
      </c>
      <c r="AN83" s="33">
        <f>AL83-AM83</f>
        <v/>
      </c>
      <c r="AO83" s="33">
        <f>IF(AS82&lt;=0,0,ROUND(AS82*(1+'Your debts'!$D$13/1200),2))</f>
        <v/>
      </c>
      <c r="AP83" s="33">
        <f>IF(AO83&lt;=0,0,MIN('Your debts'!$E$13,AO83))</f>
        <v/>
      </c>
      <c r="AQ83" s="33">
        <f>AO83-AP83</f>
        <v/>
      </c>
      <c r="AR83" s="33">
        <f>IF('Your debts'!$F$13="",0,MIN(AQ83,MAX(0,MAX(0,'Your debts'!$C$19-(G83+L83+Q83+V83+AA83+AF83+AK83+AP83+AU83+AZ83))-(IF(AND('Your debts'!$F$6&lt;&gt;"",'Your debts'!$F$13&lt;&gt;"",'Your debts'!$F$6&lt;'Your debts'!$F$13),H83,0)+IF(AND('Your debts'!$F$7&lt;&gt;"",'Your debts'!$F$13&lt;&gt;"",'Your debts'!$F$7&lt;'Your debts'!$F$13),M83,0)+IF(AND('Your debts'!$F$8&lt;&gt;"",'Your debts'!$F$13&lt;&gt;"",'Your debts'!$F$8&lt;'Your debts'!$F$13),R83,0)+IF(AND('Your debts'!$F$9&lt;&gt;"",'Your debts'!$F$13&lt;&gt;"",'Your debts'!$F$9&lt;'Your debts'!$F$13),W83,0)+IF(AND('Your debts'!$F$10&lt;&gt;"",'Your debts'!$F$13&lt;&gt;"",'Your debts'!$F$10&lt;'Your debts'!$F$13),AB83,0)+IF(AND('Your debts'!$F$11&lt;&gt;"",'Your debts'!$F$13&lt;&gt;"",'Your debts'!$F$11&lt;'Your debts'!$F$13),AG83,0)+IF(AND('Your debts'!$F$12&lt;&gt;"",'Your debts'!$F$13&lt;&gt;"",'Your debts'!$F$12&lt;'Your debts'!$F$13),AL83,0)+IF(AND('Your debts'!$F$14&lt;&gt;"",'Your debts'!$F$13&lt;&gt;"",'Your debts'!$F$14&lt;'Your debts'!$F$13),AV83,0)+IF(AND('Your debts'!$F$15&lt;&gt;"",'Your debts'!$F$13&lt;&gt;"",'Your debts'!$F$15&lt;'Your debts'!$F$13),BA83,0)))))</f>
        <v/>
      </c>
      <c r="AS83" s="33">
        <f>AQ83-AR83</f>
        <v/>
      </c>
      <c r="AT83" s="33">
        <f>IF(AX82&lt;=0,0,ROUND(AX82*(1+'Your debts'!$D$14/1200),2))</f>
        <v/>
      </c>
      <c r="AU83" s="33">
        <f>IF(AT83&lt;=0,0,MIN('Your debts'!$E$14,AT83))</f>
        <v/>
      </c>
      <c r="AV83" s="33">
        <f>AT83-AU83</f>
        <v/>
      </c>
      <c r="AW83" s="33">
        <f>IF('Your debts'!$F$14="",0,MIN(AV83,MAX(0,MAX(0,'Your debts'!$C$19-(G83+L83+Q83+V83+AA83+AF83+AK83+AP83+AU83+AZ83))-(IF(AND('Your debts'!$F$6&lt;&gt;"",'Your debts'!$F$14&lt;&gt;"",'Your debts'!$F$6&lt;'Your debts'!$F$14),H83,0)+IF(AND('Your debts'!$F$7&lt;&gt;"",'Your debts'!$F$14&lt;&gt;"",'Your debts'!$F$7&lt;'Your debts'!$F$14),M83,0)+IF(AND('Your debts'!$F$8&lt;&gt;"",'Your debts'!$F$14&lt;&gt;"",'Your debts'!$F$8&lt;'Your debts'!$F$14),R83,0)+IF(AND('Your debts'!$F$9&lt;&gt;"",'Your debts'!$F$14&lt;&gt;"",'Your debts'!$F$9&lt;'Your debts'!$F$14),W83,0)+IF(AND('Your debts'!$F$10&lt;&gt;"",'Your debts'!$F$14&lt;&gt;"",'Your debts'!$F$10&lt;'Your debts'!$F$14),AB83,0)+IF(AND('Your debts'!$F$11&lt;&gt;"",'Your debts'!$F$14&lt;&gt;"",'Your debts'!$F$11&lt;'Your debts'!$F$14),AG83,0)+IF(AND('Your debts'!$F$12&lt;&gt;"",'Your debts'!$F$14&lt;&gt;"",'Your debts'!$F$12&lt;'Your debts'!$F$14),AL83,0)+IF(AND('Your debts'!$F$13&lt;&gt;"",'Your debts'!$F$14&lt;&gt;"",'Your debts'!$F$13&lt;'Your debts'!$F$14),AQ83,0)+IF(AND('Your debts'!$F$15&lt;&gt;"",'Your debts'!$F$14&lt;&gt;"",'Your debts'!$F$15&lt;'Your debts'!$F$14),BA83,0)))))</f>
        <v/>
      </c>
      <c r="AX83" s="33">
        <f>AV83-AW83</f>
        <v/>
      </c>
      <c r="AY83" s="33">
        <f>IF(BC82&lt;=0,0,ROUND(BC82*(1+'Your debts'!$D$15/1200),2))</f>
        <v/>
      </c>
      <c r="AZ83" s="33">
        <f>IF(AY83&lt;=0,0,MIN('Your debts'!$E$15,AY83))</f>
        <v/>
      </c>
      <c r="BA83" s="33">
        <f>AY83-AZ83</f>
        <v/>
      </c>
      <c r="BB83" s="33">
        <f>IF('Your debts'!$F$15="",0,MIN(BA83,MAX(0,MAX(0,'Your debts'!$C$19-(G83+L83+Q83+V83+AA83+AF83+AK83+AP83+AU83+AZ83))-(IF(AND('Your debts'!$F$6&lt;&gt;"",'Your debts'!$F$15&lt;&gt;"",'Your debts'!$F$6&lt;'Your debts'!$F$15),H83,0)+IF(AND('Your debts'!$F$7&lt;&gt;"",'Your debts'!$F$15&lt;&gt;"",'Your debts'!$F$7&lt;'Your debts'!$F$15),M83,0)+IF(AND('Your debts'!$F$8&lt;&gt;"",'Your debts'!$F$15&lt;&gt;"",'Your debts'!$F$8&lt;'Your debts'!$F$15),R83,0)+IF(AND('Your debts'!$F$9&lt;&gt;"",'Your debts'!$F$15&lt;&gt;"",'Your debts'!$F$9&lt;'Your debts'!$F$15),W83,0)+IF(AND('Your debts'!$F$10&lt;&gt;"",'Your debts'!$F$15&lt;&gt;"",'Your debts'!$F$10&lt;'Your debts'!$F$15),AB83,0)+IF(AND('Your debts'!$F$11&lt;&gt;"",'Your debts'!$F$15&lt;&gt;"",'Your debts'!$F$11&lt;'Your debts'!$F$15),AG83,0)+IF(AND('Your debts'!$F$12&lt;&gt;"",'Your debts'!$F$15&lt;&gt;"",'Your debts'!$F$12&lt;'Your debts'!$F$15),AL83,0)+IF(AND('Your debts'!$F$13&lt;&gt;"",'Your debts'!$F$15&lt;&gt;"",'Your debts'!$F$13&lt;'Your debts'!$F$15),AQ83,0)+IF(AND('Your debts'!$F$14&lt;&gt;"",'Your debts'!$F$15&lt;&gt;"",'Your debts'!$F$14&lt;'Your debts'!$F$15),AV83,0)))))</f>
        <v/>
      </c>
      <c r="BC83" s="33">
        <f>BA83-BB83</f>
        <v/>
      </c>
    </row>
    <row r="84">
      <c r="A84" s="30" t="n">
        <v>69</v>
      </c>
      <c r="B84" s="31">
        <f>EDATE($B$15,69)</f>
        <v/>
      </c>
      <c r="C84" s="32">
        <f>IF(J83&lt;=0,0,F84-J83)+IF(O83&lt;=0,0,K84-O83)+IF(T83&lt;=0,0,P84-T83)+IF(Y83&lt;=0,0,U84-Y83)+IF(AD83&lt;=0,0,Z84-AD83)+IF(AI83&lt;=0,0,AE84-AI83)+IF(AN83&lt;=0,0,AJ84-AN83)+IF(AS83&lt;=0,0,AO84-AS83)+IF(AX83&lt;=0,0,AT84-AX83)+IF(BC83&lt;=0,0,AY84-BC83)</f>
        <v/>
      </c>
      <c r="D84" s="32">
        <f>G84+I84+L84+N84+Q84+S84+V84+X84+AA84+AC84+AF84+AH84+AK84+AM84+AP84+AR84+AU84+AW84+AZ84+BB84</f>
        <v/>
      </c>
      <c r="E84" s="32">
        <f>J84+O84+T84+Y84+AD84+AI84+AN84+AS84+AX84+BC84</f>
        <v/>
      </c>
      <c r="F84" s="33">
        <f>IF(J83&lt;=0,0,ROUND(J83*(1+'Your debts'!$D$6/1200),2))</f>
        <v/>
      </c>
      <c r="G84" s="33">
        <f>IF(F84&lt;=0,0,MIN('Your debts'!$E$6,F84))</f>
        <v/>
      </c>
      <c r="H84" s="33">
        <f>F84-G84</f>
        <v/>
      </c>
      <c r="I84" s="33">
        <f>IF('Your debts'!$F$6="",0,MIN(H84,MAX(0,MAX(0,'Your debts'!$C$19-(G84+L84+Q84+V84+AA84+AF84+AK84+AP84+AU84+AZ84))-(IF(AND('Your debts'!$F$7&lt;&gt;"",'Your debts'!$F$6&lt;&gt;"",'Your debts'!$F$7&lt;'Your debts'!$F$6),M84,0)+IF(AND('Your debts'!$F$8&lt;&gt;"",'Your debts'!$F$6&lt;&gt;"",'Your debts'!$F$8&lt;'Your debts'!$F$6),R84,0)+IF(AND('Your debts'!$F$9&lt;&gt;"",'Your debts'!$F$6&lt;&gt;"",'Your debts'!$F$9&lt;'Your debts'!$F$6),W84,0)+IF(AND('Your debts'!$F$10&lt;&gt;"",'Your debts'!$F$6&lt;&gt;"",'Your debts'!$F$10&lt;'Your debts'!$F$6),AB84,0)+IF(AND('Your debts'!$F$11&lt;&gt;"",'Your debts'!$F$6&lt;&gt;"",'Your debts'!$F$11&lt;'Your debts'!$F$6),AG84,0)+IF(AND('Your debts'!$F$12&lt;&gt;"",'Your debts'!$F$6&lt;&gt;"",'Your debts'!$F$12&lt;'Your debts'!$F$6),AL84,0)+IF(AND('Your debts'!$F$13&lt;&gt;"",'Your debts'!$F$6&lt;&gt;"",'Your debts'!$F$13&lt;'Your debts'!$F$6),AQ84,0)+IF(AND('Your debts'!$F$14&lt;&gt;"",'Your debts'!$F$6&lt;&gt;"",'Your debts'!$F$14&lt;'Your debts'!$F$6),AV84,0)+IF(AND('Your debts'!$F$15&lt;&gt;"",'Your debts'!$F$6&lt;&gt;"",'Your debts'!$F$15&lt;'Your debts'!$F$6),BA84,0)))))</f>
        <v/>
      </c>
      <c r="J84" s="33">
        <f>H84-I84</f>
        <v/>
      </c>
      <c r="K84" s="33">
        <f>IF(O83&lt;=0,0,ROUND(O83*(1+'Your debts'!$D$7/1200),2))</f>
        <v/>
      </c>
      <c r="L84" s="33">
        <f>IF(K84&lt;=0,0,MIN('Your debts'!$E$7,K84))</f>
        <v/>
      </c>
      <c r="M84" s="33">
        <f>K84-L84</f>
        <v/>
      </c>
      <c r="N84" s="33">
        <f>IF('Your debts'!$F$7="",0,MIN(M84,MAX(0,MAX(0,'Your debts'!$C$19-(G84+L84+Q84+V84+AA84+AF84+AK84+AP84+AU84+AZ84))-(IF(AND('Your debts'!$F$6&lt;&gt;"",'Your debts'!$F$7&lt;&gt;"",'Your debts'!$F$6&lt;'Your debts'!$F$7),H84,0)+IF(AND('Your debts'!$F$8&lt;&gt;"",'Your debts'!$F$7&lt;&gt;"",'Your debts'!$F$8&lt;'Your debts'!$F$7),R84,0)+IF(AND('Your debts'!$F$9&lt;&gt;"",'Your debts'!$F$7&lt;&gt;"",'Your debts'!$F$9&lt;'Your debts'!$F$7),W84,0)+IF(AND('Your debts'!$F$10&lt;&gt;"",'Your debts'!$F$7&lt;&gt;"",'Your debts'!$F$10&lt;'Your debts'!$F$7),AB84,0)+IF(AND('Your debts'!$F$11&lt;&gt;"",'Your debts'!$F$7&lt;&gt;"",'Your debts'!$F$11&lt;'Your debts'!$F$7),AG84,0)+IF(AND('Your debts'!$F$12&lt;&gt;"",'Your debts'!$F$7&lt;&gt;"",'Your debts'!$F$12&lt;'Your debts'!$F$7),AL84,0)+IF(AND('Your debts'!$F$13&lt;&gt;"",'Your debts'!$F$7&lt;&gt;"",'Your debts'!$F$13&lt;'Your debts'!$F$7),AQ84,0)+IF(AND('Your debts'!$F$14&lt;&gt;"",'Your debts'!$F$7&lt;&gt;"",'Your debts'!$F$14&lt;'Your debts'!$F$7),AV84,0)+IF(AND('Your debts'!$F$15&lt;&gt;"",'Your debts'!$F$7&lt;&gt;"",'Your debts'!$F$15&lt;'Your debts'!$F$7),BA84,0)))))</f>
        <v/>
      </c>
      <c r="O84" s="33">
        <f>M84-N84</f>
        <v/>
      </c>
      <c r="P84" s="33">
        <f>IF(T83&lt;=0,0,ROUND(T83*(1+'Your debts'!$D$8/1200),2))</f>
        <v/>
      </c>
      <c r="Q84" s="33">
        <f>IF(P84&lt;=0,0,MIN('Your debts'!$E$8,P84))</f>
        <v/>
      </c>
      <c r="R84" s="33">
        <f>P84-Q84</f>
        <v/>
      </c>
      <c r="S84" s="33">
        <f>IF('Your debts'!$F$8="",0,MIN(R84,MAX(0,MAX(0,'Your debts'!$C$19-(G84+L84+Q84+V84+AA84+AF84+AK84+AP84+AU84+AZ84))-(IF(AND('Your debts'!$F$6&lt;&gt;"",'Your debts'!$F$8&lt;&gt;"",'Your debts'!$F$6&lt;'Your debts'!$F$8),H84,0)+IF(AND('Your debts'!$F$7&lt;&gt;"",'Your debts'!$F$8&lt;&gt;"",'Your debts'!$F$7&lt;'Your debts'!$F$8),M84,0)+IF(AND('Your debts'!$F$9&lt;&gt;"",'Your debts'!$F$8&lt;&gt;"",'Your debts'!$F$9&lt;'Your debts'!$F$8),W84,0)+IF(AND('Your debts'!$F$10&lt;&gt;"",'Your debts'!$F$8&lt;&gt;"",'Your debts'!$F$10&lt;'Your debts'!$F$8),AB84,0)+IF(AND('Your debts'!$F$11&lt;&gt;"",'Your debts'!$F$8&lt;&gt;"",'Your debts'!$F$11&lt;'Your debts'!$F$8),AG84,0)+IF(AND('Your debts'!$F$12&lt;&gt;"",'Your debts'!$F$8&lt;&gt;"",'Your debts'!$F$12&lt;'Your debts'!$F$8),AL84,0)+IF(AND('Your debts'!$F$13&lt;&gt;"",'Your debts'!$F$8&lt;&gt;"",'Your debts'!$F$13&lt;'Your debts'!$F$8),AQ84,0)+IF(AND('Your debts'!$F$14&lt;&gt;"",'Your debts'!$F$8&lt;&gt;"",'Your debts'!$F$14&lt;'Your debts'!$F$8),AV84,0)+IF(AND('Your debts'!$F$15&lt;&gt;"",'Your debts'!$F$8&lt;&gt;"",'Your debts'!$F$15&lt;'Your debts'!$F$8),BA84,0)))))</f>
        <v/>
      </c>
      <c r="T84" s="33">
        <f>R84-S84</f>
        <v/>
      </c>
      <c r="U84" s="33">
        <f>IF(Y83&lt;=0,0,ROUND(Y83*(1+'Your debts'!$D$9/1200),2))</f>
        <v/>
      </c>
      <c r="V84" s="33">
        <f>IF(U84&lt;=0,0,MIN('Your debts'!$E$9,U84))</f>
        <v/>
      </c>
      <c r="W84" s="33">
        <f>U84-V84</f>
        <v/>
      </c>
      <c r="X84" s="33">
        <f>IF('Your debts'!$F$9="",0,MIN(W84,MAX(0,MAX(0,'Your debts'!$C$19-(G84+L84+Q84+V84+AA84+AF84+AK84+AP84+AU84+AZ84))-(IF(AND('Your debts'!$F$6&lt;&gt;"",'Your debts'!$F$9&lt;&gt;"",'Your debts'!$F$6&lt;'Your debts'!$F$9),H84,0)+IF(AND('Your debts'!$F$7&lt;&gt;"",'Your debts'!$F$9&lt;&gt;"",'Your debts'!$F$7&lt;'Your debts'!$F$9),M84,0)+IF(AND('Your debts'!$F$8&lt;&gt;"",'Your debts'!$F$9&lt;&gt;"",'Your debts'!$F$8&lt;'Your debts'!$F$9),R84,0)+IF(AND('Your debts'!$F$10&lt;&gt;"",'Your debts'!$F$9&lt;&gt;"",'Your debts'!$F$10&lt;'Your debts'!$F$9),AB84,0)+IF(AND('Your debts'!$F$11&lt;&gt;"",'Your debts'!$F$9&lt;&gt;"",'Your debts'!$F$11&lt;'Your debts'!$F$9),AG84,0)+IF(AND('Your debts'!$F$12&lt;&gt;"",'Your debts'!$F$9&lt;&gt;"",'Your debts'!$F$12&lt;'Your debts'!$F$9),AL84,0)+IF(AND('Your debts'!$F$13&lt;&gt;"",'Your debts'!$F$9&lt;&gt;"",'Your debts'!$F$13&lt;'Your debts'!$F$9),AQ84,0)+IF(AND('Your debts'!$F$14&lt;&gt;"",'Your debts'!$F$9&lt;&gt;"",'Your debts'!$F$14&lt;'Your debts'!$F$9),AV84,0)+IF(AND('Your debts'!$F$15&lt;&gt;"",'Your debts'!$F$9&lt;&gt;"",'Your debts'!$F$15&lt;'Your debts'!$F$9),BA84,0)))))</f>
        <v/>
      </c>
      <c r="Y84" s="33">
        <f>W84-X84</f>
        <v/>
      </c>
      <c r="Z84" s="33">
        <f>IF(AD83&lt;=0,0,ROUND(AD83*(1+'Your debts'!$D$10/1200),2))</f>
        <v/>
      </c>
      <c r="AA84" s="33">
        <f>IF(Z84&lt;=0,0,MIN('Your debts'!$E$10,Z84))</f>
        <v/>
      </c>
      <c r="AB84" s="33">
        <f>Z84-AA84</f>
        <v/>
      </c>
      <c r="AC84" s="33">
        <f>IF('Your debts'!$F$10="",0,MIN(AB84,MAX(0,MAX(0,'Your debts'!$C$19-(G84+L84+Q84+V84+AA84+AF84+AK84+AP84+AU84+AZ84))-(IF(AND('Your debts'!$F$6&lt;&gt;"",'Your debts'!$F$10&lt;&gt;"",'Your debts'!$F$6&lt;'Your debts'!$F$10),H84,0)+IF(AND('Your debts'!$F$7&lt;&gt;"",'Your debts'!$F$10&lt;&gt;"",'Your debts'!$F$7&lt;'Your debts'!$F$10),M84,0)+IF(AND('Your debts'!$F$8&lt;&gt;"",'Your debts'!$F$10&lt;&gt;"",'Your debts'!$F$8&lt;'Your debts'!$F$10),R84,0)+IF(AND('Your debts'!$F$9&lt;&gt;"",'Your debts'!$F$10&lt;&gt;"",'Your debts'!$F$9&lt;'Your debts'!$F$10),W84,0)+IF(AND('Your debts'!$F$11&lt;&gt;"",'Your debts'!$F$10&lt;&gt;"",'Your debts'!$F$11&lt;'Your debts'!$F$10),AG84,0)+IF(AND('Your debts'!$F$12&lt;&gt;"",'Your debts'!$F$10&lt;&gt;"",'Your debts'!$F$12&lt;'Your debts'!$F$10),AL84,0)+IF(AND('Your debts'!$F$13&lt;&gt;"",'Your debts'!$F$10&lt;&gt;"",'Your debts'!$F$13&lt;'Your debts'!$F$10),AQ84,0)+IF(AND('Your debts'!$F$14&lt;&gt;"",'Your debts'!$F$10&lt;&gt;"",'Your debts'!$F$14&lt;'Your debts'!$F$10),AV84,0)+IF(AND('Your debts'!$F$15&lt;&gt;"",'Your debts'!$F$10&lt;&gt;"",'Your debts'!$F$15&lt;'Your debts'!$F$10),BA84,0)))))</f>
        <v/>
      </c>
      <c r="AD84" s="33">
        <f>AB84-AC84</f>
        <v/>
      </c>
      <c r="AE84" s="33">
        <f>IF(AI83&lt;=0,0,ROUND(AI83*(1+'Your debts'!$D$11/1200),2))</f>
        <v/>
      </c>
      <c r="AF84" s="33">
        <f>IF(AE84&lt;=0,0,MIN('Your debts'!$E$11,AE84))</f>
        <v/>
      </c>
      <c r="AG84" s="33">
        <f>AE84-AF84</f>
        <v/>
      </c>
      <c r="AH84" s="33">
        <f>IF('Your debts'!$F$11="",0,MIN(AG84,MAX(0,MAX(0,'Your debts'!$C$19-(G84+L84+Q84+V84+AA84+AF84+AK84+AP84+AU84+AZ84))-(IF(AND('Your debts'!$F$6&lt;&gt;"",'Your debts'!$F$11&lt;&gt;"",'Your debts'!$F$6&lt;'Your debts'!$F$11),H84,0)+IF(AND('Your debts'!$F$7&lt;&gt;"",'Your debts'!$F$11&lt;&gt;"",'Your debts'!$F$7&lt;'Your debts'!$F$11),M84,0)+IF(AND('Your debts'!$F$8&lt;&gt;"",'Your debts'!$F$11&lt;&gt;"",'Your debts'!$F$8&lt;'Your debts'!$F$11),R84,0)+IF(AND('Your debts'!$F$9&lt;&gt;"",'Your debts'!$F$11&lt;&gt;"",'Your debts'!$F$9&lt;'Your debts'!$F$11),W84,0)+IF(AND('Your debts'!$F$10&lt;&gt;"",'Your debts'!$F$11&lt;&gt;"",'Your debts'!$F$10&lt;'Your debts'!$F$11),AB84,0)+IF(AND('Your debts'!$F$12&lt;&gt;"",'Your debts'!$F$11&lt;&gt;"",'Your debts'!$F$12&lt;'Your debts'!$F$11),AL84,0)+IF(AND('Your debts'!$F$13&lt;&gt;"",'Your debts'!$F$11&lt;&gt;"",'Your debts'!$F$13&lt;'Your debts'!$F$11),AQ84,0)+IF(AND('Your debts'!$F$14&lt;&gt;"",'Your debts'!$F$11&lt;&gt;"",'Your debts'!$F$14&lt;'Your debts'!$F$11),AV84,0)+IF(AND('Your debts'!$F$15&lt;&gt;"",'Your debts'!$F$11&lt;&gt;"",'Your debts'!$F$15&lt;'Your debts'!$F$11),BA84,0)))))</f>
        <v/>
      </c>
      <c r="AI84" s="33">
        <f>AG84-AH84</f>
        <v/>
      </c>
      <c r="AJ84" s="33">
        <f>IF(AN83&lt;=0,0,ROUND(AN83*(1+'Your debts'!$D$12/1200),2))</f>
        <v/>
      </c>
      <c r="AK84" s="33">
        <f>IF(AJ84&lt;=0,0,MIN('Your debts'!$E$12,AJ84))</f>
        <v/>
      </c>
      <c r="AL84" s="33">
        <f>AJ84-AK84</f>
        <v/>
      </c>
      <c r="AM84" s="33">
        <f>IF('Your debts'!$F$12="",0,MIN(AL84,MAX(0,MAX(0,'Your debts'!$C$19-(G84+L84+Q84+V84+AA84+AF84+AK84+AP84+AU84+AZ84))-(IF(AND('Your debts'!$F$6&lt;&gt;"",'Your debts'!$F$12&lt;&gt;"",'Your debts'!$F$6&lt;'Your debts'!$F$12),H84,0)+IF(AND('Your debts'!$F$7&lt;&gt;"",'Your debts'!$F$12&lt;&gt;"",'Your debts'!$F$7&lt;'Your debts'!$F$12),M84,0)+IF(AND('Your debts'!$F$8&lt;&gt;"",'Your debts'!$F$12&lt;&gt;"",'Your debts'!$F$8&lt;'Your debts'!$F$12),R84,0)+IF(AND('Your debts'!$F$9&lt;&gt;"",'Your debts'!$F$12&lt;&gt;"",'Your debts'!$F$9&lt;'Your debts'!$F$12),W84,0)+IF(AND('Your debts'!$F$10&lt;&gt;"",'Your debts'!$F$12&lt;&gt;"",'Your debts'!$F$10&lt;'Your debts'!$F$12),AB84,0)+IF(AND('Your debts'!$F$11&lt;&gt;"",'Your debts'!$F$12&lt;&gt;"",'Your debts'!$F$11&lt;'Your debts'!$F$12),AG84,0)+IF(AND('Your debts'!$F$13&lt;&gt;"",'Your debts'!$F$12&lt;&gt;"",'Your debts'!$F$13&lt;'Your debts'!$F$12),AQ84,0)+IF(AND('Your debts'!$F$14&lt;&gt;"",'Your debts'!$F$12&lt;&gt;"",'Your debts'!$F$14&lt;'Your debts'!$F$12),AV84,0)+IF(AND('Your debts'!$F$15&lt;&gt;"",'Your debts'!$F$12&lt;&gt;"",'Your debts'!$F$15&lt;'Your debts'!$F$12),BA84,0)))))</f>
        <v/>
      </c>
      <c r="AN84" s="33">
        <f>AL84-AM84</f>
        <v/>
      </c>
      <c r="AO84" s="33">
        <f>IF(AS83&lt;=0,0,ROUND(AS83*(1+'Your debts'!$D$13/1200),2))</f>
        <v/>
      </c>
      <c r="AP84" s="33">
        <f>IF(AO84&lt;=0,0,MIN('Your debts'!$E$13,AO84))</f>
        <v/>
      </c>
      <c r="AQ84" s="33">
        <f>AO84-AP84</f>
        <v/>
      </c>
      <c r="AR84" s="33">
        <f>IF('Your debts'!$F$13="",0,MIN(AQ84,MAX(0,MAX(0,'Your debts'!$C$19-(G84+L84+Q84+V84+AA84+AF84+AK84+AP84+AU84+AZ84))-(IF(AND('Your debts'!$F$6&lt;&gt;"",'Your debts'!$F$13&lt;&gt;"",'Your debts'!$F$6&lt;'Your debts'!$F$13),H84,0)+IF(AND('Your debts'!$F$7&lt;&gt;"",'Your debts'!$F$13&lt;&gt;"",'Your debts'!$F$7&lt;'Your debts'!$F$13),M84,0)+IF(AND('Your debts'!$F$8&lt;&gt;"",'Your debts'!$F$13&lt;&gt;"",'Your debts'!$F$8&lt;'Your debts'!$F$13),R84,0)+IF(AND('Your debts'!$F$9&lt;&gt;"",'Your debts'!$F$13&lt;&gt;"",'Your debts'!$F$9&lt;'Your debts'!$F$13),W84,0)+IF(AND('Your debts'!$F$10&lt;&gt;"",'Your debts'!$F$13&lt;&gt;"",'Your debts'!$F$10&lt;'Your debts'!$F$13),AB84,0)+IF(AND('Your debts'!$F$11&lt;&gt;"",'Your debts'!$F$13&lt;&gt;"",'Your debts'!$F$11&lt;'Your debts'!$F$13),AG84,0)+IF(AND('Your debts'!$F$12&lt;&gt;"",'Your debts'!$F$13&lt;&gt;"",'Your debts'!$F$12&lt;'Your debts'!$F$13),AL84,0)+IF(AND('Your debts'!$F$14&lt;&gt;"",'Your debts'!$F$13&lt;&gt;"",'Your debts'!$F$14&lt;'Your debts'!$F$13),AV84,0)+IF(AND('Your debts'!$F$15&lt;&gt;"",'Your debts'!$F$13&lt;&gt;"",'Your debts'!$F$15&lt;'Your debts'!$F$13),BA84,0)))))</f>
        <v/>
      </c>
      <c r="AS84" s="33">
        <f>AQ84-AR84</f>
        <v/>
      </c>
      <c r="AT84" s="33">
        <f>IF(AX83&lt;=0,0,ROUND(AX83*(1+'Your debts'!$D$14/1200),2))</f>
        <v/>
      </c>
      <c r="AU84" s="33">
        <f>IF(AT84&lt;=0,0,MIN('Your debts'!$E$14,AT84))</f>
        <v/>
      </c>
      <c r="AV84" s="33">
        <f>AT84-AU84</f>
        <v/>
      </c>
      <c r="AW84" s="33">
        <f>IF('Your debts'!$F$14="",0,MIN(AV84,MAX(0,MAX(0,'Your debts'!$C$19-(G84+L84+Q84+V84+AA84+AF84+AK84+AP84+AU84+AZ84))-(IF(AND('Your debts'!$F$6&lt;&gt;"",'Your debts'!$F$14&lt;&gt;"",'Your debts'!$F$6&lt;'Your debts'!$F$14),H84,0)+IF(AND('Your debts'!$F$7&lt;&gt;"",'Your debts'!$F$14&lt;&gt;"",'Your debts'!$F$7&lt;'Your debts'!$F$14),M84,0)+IF(AND('Your debts'!$F$8&lt;&gt;"",'Your debts'!$F$14&lt;&gt;"",'Your debts'!$F$8&lt;'Your debts'!$F$14),R84,0)+IF(AND('Your debts'!$F$9&lt;&gt;"",'Your debts'!$F$14&lt;&gt;"",'Your debts'!$F$9&lt;'Your debts'!$F$14),W84,0)+IF(AND('Your debts'!$F$10&lt;&gt;"",'Your debts'!$F$14&lt;&gt;"",'Your debts'!$F$10&lt;'Your debts'!$F$14),AB84,0)+IF(AND('Your debts'!$F$11&lt;&gt;"",'Your debts'!$F$14&lt;&gt;"",'Your debts'!$F$11&lt;'Your debts'!$F$14),AG84,0)+IF(AND('Your debts'!$F$12&lt;&gt;"",'Your debts'!$F$14&lt;&gt;"",'Your debts'!$F$12&lt;'Your debts'!$F$14),AL84,0)+IF(AND('Your debts'!$F$13&lt;&gt;"",'Your debts'!$F$14&lt;&gt;"",'Your debts'!$F$13&lt;'Your debts'!$F$14),AQ84,0)+IF(AND('Your debts'!$F$15&lt;&gt;"",'Your debts'!$F$14&lt;&gt;"",'Your debts'!$F$15&lt;'Your debts'!$F$14),BA84,0)))))</f>
        <v/>
      </c>
      <c r="AX84" s="33">
        <f>AV84-AW84</f>
        <v/>
      </c>
      <c r="AY84" s="33">
        <f>IF(BC83&lt;=0,0,ROUND(BC83*(1+'Your debts'!$D$15/1200),2))</f>
        <v/>
      </c>
      <c r="AZ84" s="33">
        <f>IF(AY84&lt;=0,0,MIN('Your debts'!$E$15,AY84))</f>
        <v/>
      </c>
      <c r="BA84" s="33">
        <f>AY84-AZ84</f>
        <v/>
      </c>
      <c r="BB84" s="33">
        <f>IF('Your debts'!$F$15="",0,MIN(BA84,MAX(0,MAX(0,'Your debts'!$C$19-(G84+L84+Q84+V84+AA84+AF84+AK84+AP84+AU84+AZ84))-(IF(AND('Your debts'!$F$6&lt;&gt;"",'Your debts'!$F$15&lt;&gt;"",'Your debts'!$F$6&lt;'Your debts'!$F$15),H84,0)+IF(AND('Your debts'!$F$7&lt;&gt;"",'Your debts'!$F$15&lt;&gt;"",'Your debts'!$F$7&lt;'Your debts'!$F$15),M84,0)+IF(AND('Your debts'!$F$8&lt;&gt;"",'Your debts'!$F$15&lt;&gt;"",'Your debts'!$F$8&lt;'Your debts'!$F$15),R84,0)+IF(AND('Your debts'!$F$9&lt;&gt;"",'Your debts'!$F$15&lt;&gt;"",'Your debts'!$F$9&lt;'Your debts'!$F$15),W84,0)+IF(AND('Your debts'!$F$10&lt;&gt;"",'Your debts'!$F$15&lt;&gt;"",'Your debts'!$F$10&lt;'Your debts'!$F$15),AB84,0)+IF(AND('Your debts'!$F$11&lt;&gt;"",'Your debts'!$F$15&lt;&gt;"",'Your debts'!$F$11&lt;'Your debts'!$F$15),AG84,0)+IF(AND('Your debts'!$F$12&lt;&gt;"",'Your debts'!$F$15&lt;&gt;"",'Your debts'!$F$12&lt;'Your debts'!$F$15),AL84,0)+IF(AND('Your debts'!$F$13&lt;&gt;"",'Your debts'!$F$15&lt;&gt;"",'Your debts'!$F$13&lt;'Your debts'!$F$15),AQ84,0)+IF(AND('Your debts'!$F$14&lt;&gt;"",'Your debts'!$F$15&lt;&gt;"",'Your debts'!$F$14&lt;'Your debts'!$F$15),AV84,0)))))</f>
        <v/>
      </c>
      <c r="BC84" s="33">
        <f>BA84-BB84</f>
        <v/>
      </c>
    </row>
    <row r="85">
      <c r="A85" s="30" t="n">
        <v>70</v>
      </c>
      <c r="B85" s="31">
        <f>EDATE($B$15,70)</f>
        <v/>
      </c>
      <c r="C85" s="32">
        <f>IF(J84&lt;=0,0,F85-J84)+IF(O84&lt;=0,0,K85-O84)+IF(T84&lt;=0,0,P85-T84)+IF(Y84&lt;=0,0,U85-Y84)+IF(AD84&lt;=0,0,Z85-AD84)+IF(AI84&lt;=0,0,AE85-AI84)+IF(AN84&lt;=0,0,AJ85-AN84)+IF(AS84&lt;=0,0,AO85-AS84)+IF(AX84&lt;=0,0,AT85-AX84)+IF(BC84&lt;=0,0,AY85-BC84)</f>
        <v/>
      </c>
      <c r="D85" s="32">
        <f>G85+I85+L85+N85+Q85+S85+V85+X85+AA85+AC85+AF85+AH85+AK85+AM85+AP85+AR85+AU85+AW85+AZ85+BB85</f>
        <v/>
      </c>
      <c r="E85" s="32">
        <f>J85+O85+T85+Y85+AD85+AI85+AN85+AS85+AX85+BC85</f>
        <v/>
      </c>
      <c r="F85" s="33">
        <f>IF(J84&lt;=0,0,ROUND(J84*(1+'Your debts'!$D$6/1200),2))</f>
        <v/>
      </c>
      <c r="G85" s="33">
        <f>IF(F85&lt;=0,0,MIN('Your debts'!$E$6,F85))</f>
        <v/>
      </c>
      <c r="H85" s="33">
        <f>F85-G85</f>
        <v/>
      </c>
      <c r="I85" s="33">
        <f>IF('Your debts'!$F$6="",0,MIN(H85,MAX(0,MAX(0,'Your debts'!$C$19-(G85+L85+Q85+V85+AA85+AF85+AK85+AP85+AU85+AZ85))-(IF(AND('Your debts'!$F$7&lt;&gt;"",'Your debts'!$F$6&lt;&gt;"",'Your debts'!$F$7&lt;'Your debts'!$F$6),M85,0)+IF(AND('Your debts'!$F$8&lt;&gt;"",'Your debts'!$F$6&lt;&gt;"",'Your debts'!$F$8&lt;'Your debts'!$F$6),R85,0)+IF(AND('Your debts'!$F$9&lt;&gt;"",'Your debts'!$F$6&lt;&gt;"",'Your debts'!$F$9&lt;'Your debts'!$F$6),W85,0)+IF(AND('Your debts'!$F$10&lt;&gt;"",'Your debts'!$F$6&lt;&gt;"",'Your debts'!$F$10&lt;'Your debts'!$F$6),AB85,0)+IF(AND('Your debts'!$F$11&lt;&gt;"",'Your debts'!$F$6&lt;&gt;"",'Your debts'!$F$11&lt;'Your debts'!$F$6),AG85,0)+IF(AND('Your debts'!$F$12&lt;&gt;"",'Your debts'!$F$6&lt;&gt;"",'Your debts'!$F$12&lt;'Your debts'!$F$6),AL85,0)+IF(AND('Your debts'!$F$13&lt;&gt;"",'Your debts'!$F$6&lt;&gt;"",'Your debts'!$F$13&lt;'Your debts'!$F$6),AQ85,0)+IF(AND('Your debts'!$F$14&lt;&gt;"",'Your debts'!$F$6&lt;&gt;"",'Your debts'!$F$14&lt;'Your debts'!$F$6),AV85,0)+IF(AND('Your debts'!$F$15&lt;&gt;"",'Your debts'!$F$6&lt;&gt;"",'Your debts'!$F$15&lt;'Your debts'!$F$6),BA85,0)))))</f>
        <v/>
      </c>
      <c r="J85" s="33">
        <f>H85-I85</f>
        <v/>
      </c>
      <c r="K85" s="33">
        <f>IF(O84&lt;=0,0,ROUND(O84*(1+'Your debts'!$D$7/1200),2))</f>
        <v/>
      </c>
      <c r="L85" s="33">
        <f>IF(K85&lt;=0,0,MIN('Your debts'!$E$7,K85))</f>
        <v/>
      </c>
      <c r="M85" s="33">
        <f>K85-L85</f>
        <v/>
      </c>
      <c r="N85" s="33">
        <f>IF('Your debts'!$F$7="",0,MIN(M85,MAX(0,MAX(0,'Your debts'!$C$19-(G85+L85+Q85+V85+AA85+AF85+AK85+AP85+AU85+AZ85))-(IF(AND('Your debts'!$F$6&lt;&gt;"",'Your debts'!$F$7&lt;&gt;"",'Your debts'!$F$6&lt;'Your debts'!$F$7),H85,0)+IF(AND('Your debts'!$F$8&lt;&gt;"",'Your debts'!$F$7&lt;&gt;"",'Your debts'!$F$8&lt;'Your debts'!$F$7),R85,0)+IF(AND('Your debts'!$F$9&lt;&gt;"",'Your debts'!$F$7&lt;&gt;"",'Your debts'!$F$9&lt;'Your debts'!$F$7),W85,0)+IF(AND('Your debts'!$F$10&lt;&gt;"",'Your debts'!$F$7&lt;&gt;"",'Your debts'!$F$10&lt;'Your debts'!$F$7),AB85,0)+IF(AND('Your debts'!$F$11&lt;&gt;"",'Your debts'!$F$7&lt;&gt;"",'Your debts'!$F$11&lt;'Your debts'!$F$7),AG85,0)+IF(AND('Your debts'!$F$12&lt;&gt;"",'Your debts'!$F$7&lt;&gt;"",'Your debts'!$F$12&lt;'Your debts'!$F$7),AL85,0)+IF(AND('Your debts'!$F$13&lt;&gt;"",'Your debts'!$F$7&lt;&gt;"",'Your debts'!$F$13&lt;'Your debts'!$F$7),AQ85,0)+IF(AND('Your debts'!$F$14&lt;&gt;"",'Your debts'!$F$7&lt;&gt;"",'Your debts'!$F$14&lt;'Your debts'!$F$7),AV85,0)+IF(AND('Your debts'!$F$15&lt;&gt;"",'Your debts'!$F$7&lt;&gt;"",'Your debts'!$F$15&lt;'Your debts'!$F$7),BA85,0)))))</f>
        <v/>
      </c>
      <c r="O85" s="33">
        <f>M85-N85</f>
        <v/>
      </c>
      <c r="P85" s="33">
        <f>IF(T84&lt;=0,0,ROUND(T84*(1+'Your debts'!$D$8/1200),2))</f>
        <v/>
      </c>
      <c r="Q85" s="33">
        <f>IF(P85&lt;=0,0,MIN('Your debts'!$E$8,P85))</f>
        <v/>
      </c>
      <c r="R85" s="33">
        <f>P85-Q85</f>
        <v/>
      </c>
      <c r="S85" s="33">
        <f>IF('Your debts'!$F$8="",0,MIN(R85,MAX(0,MAX(0,'Your debts'!$C$19-(G85+L85+Q85+V85+AA85+AF85+AK85+AP85+AU85+AZ85))-(IF(AND('Your debts'!$F$6&lt;&gt;"",'Your debts'!$F$8&lt;&gt;"",'Your debts'!$F$6&lt;'Your debts'!$F$8),H85,0)+IF(AND('Your debts'!$F$7&lt;&gt;"",'Your debts'!$F$8&lt;&gt;"",'Your debts'!$F$7&lt;'Your debts'!$F$8),M85,0)+IF(AND('Your debts'!$F$9&lt;&gt;"",'Your debts'!$F$8&lt;&gt;"",'Your debts'!$F$9&lt;'Your debts'!$F$8),W85,0)+IF(AND('Your debts'!$F$10&lt;&gt;"",'Your debts'!$F$8&lt;&gt;"",'Your debts'!$F$10&lt;'Your debts'!$F$8),AB85,0)+IF(AND('Your debts'!$F$11&lt;&gt;"",'Your debts'!$F$8&lt;&gt;"",'Your debts'!$F$11&lt;'Your debts'!$F$8),AG85,0)+IF(AND('Your debts'!$F$12&lt;&gt;"",'Your debts'!$F$8&lt;&gt;"",'Your debts'!$F$12&lt;'Your debts'!$F$8),AL85,0)+IF(AND('Your debts'!$F$13&lt;&gt;"",'Your debts'!$F$8&lt;&gt;"",'Your debts'!$F$13&lt;'Your debts'!$F$8),AQ85,0)+IF(AND('Your debts'!$F$14&lt;&gt;"",'Your debts'!$F$8&lt;&gt;"",'Your debts'!$F$14&lt;'Your debts'!$F$8),AV85,0)+IF(AND('Your debts'!$F$15&lt;&gt;"",'Your debts'!$F$8&lt;&gt;"",'Your debts'!$F$15&lt;'Your debts'!$F$8),BA85,0)))))</f>
        <v/>
      </c>
      <c r="T85" s="33">
        <f>R85-S85</f>
        <v/>
      </c>
      <c r="U85" s="33">
        <f>IF(Y84&lt;=0,0,ROUND(Y84*(1+'Your debts'!$D$9/1200),2))</f>
        <v/>
      </c>
      <c r="V85" s="33">
        <f>IF(U85&lt;=0,0,MIN('Your debts'!$E$9,U85))</f>
        <v/>
      </c>
      <c r="W85" s="33">
        <f>U85-V85</f>
        <v/>
      </c>
      <c r="X85" s="33">
        <f>IF('Your debts'!$F$9="",0,MIN(W85,MAX(0,MAX(0,'Your debts'!$C$19-(G85+L85+Q85+V85+AA85+AF85+AK85+AP85+AU85+AZ85))-(IF(AND('Your debts'!$F$6&lt;&gt;"",'Your debts'!$F$9&lt;&gt;"",'Your debts'!$F$6&lt;'Your debts'!$F$9),H85,0)+IF(AND('Your debts'!$F$7&lt;&gt;"",'Your debts'!$F$9&lt;&gt;"",'Your debts'!$F$7&lt;'Your debts'!$F$9),M85,0)+IF(AND('Your debts'!$F$8&lt;&gt;"",'Your debts'!$F$9&lt;&gt;"",'Your debts'!$F$8&lt;'Your debts'!$F$9),R85,0)+IF(AND('Your debts'!$F$10&lt;&gt;"",'Your debts'!$F$9&lt;&gt;"",'Your debts'!$F$10&lt;'Your debts'!$F$9),AB85,0)+IF(AND('Your debts'!$F$11&lt;&gt;"",'Your debts'!$F$9&lt;&gt;"",'Your debts'!$F$11&lt;'Your debts'!$F$9),AG85,0)+IF(AND('Your debts'!$F$12&lt;&gt;"",'Your debts'!$F$9&lt;&gt;"",'Your debts'!$F$12&lt;'Your debts'!$F$9),AL85,0)+IF(AND('Your debts'!$F$13&lt;&gt;"",'Your debts'!$F$9&lt;&gt;"",'Your debts'!$F$13&lt;'Your debts'!$F$9),AQ85,0)+IF(AND('Your debts'!$F$14&lt;&gt;"",'Your debts'!$F$9&lt;&gt;"",'Your debts'!$F$14&lt;'Your debts'!$F$9),AV85,0)+IF(AND('Your debts'!$F$15&lt;&gt;"",'Your debts'!$F$9&lt;&gt;"",'Your debts'!$F$15&lt;'Your debts'!$F$9),BA85,0)))))</f>
        <v/>
      </c>
      <c r="Y85" s="33">
        <f>W85-X85</f>
        <v/>
      </c>
      <c r="Z85" s="33">
        <f>IF(AD84&lt;=0,0,ROUND(AD84*(1+'Your debts'!$D$10/1200),2))</f>
        <v/>
      </c>
      <c r="AA85" s="33">
        <f>IF(Z85&lt;=0,0,MIN('Your debts'!$E$10,Z85))</f>
        <v/>
      </c>
      <c r="AB85" s="33">
        <f>Z85-AA85</f>
        <v/>
      </c>
      <c r="AC85" s="33">
        <f>IF('Your debts'!$F$10="",0,MIN(AB85,MAX(0,MAX(0,'Your debts'!$C$19-(G85+L85+Q85+V85+AA85+AF85+AK85+AP85+AU85+AZ85))-(IF(AND('Your debts'!$F$6&lt;&gt;"",'Your debts'!$F$10&lt;&gt;"",'Your debts'!$F$6&lt;'Your debts'!$F$10),H85,0)+IF(AND('Your debts'!$F$7&lt;&gt;"",'Your debts'!$F$10&lt;&gt;"",'Your debts'!$F$7&lt;'Your debts'!$F$10),M85,0)+IF(AND('Your debts'!$F$8&lt;&gt;"",'Your debts'!$F$10&lt;&gt;"",'Your debts'!$F$8&lt;'Your debts'!$F$10),R85,0)+IF(AND('Your debts'!$F$9&lt;&gt;"",'Your debts'!$F$10&lt;&gt;"",'Your debts'!$F$9&lt;'Your debts'!$F$10),W85,0)+IF(AND('Your debts'!$F$11&lt;&gt;"",'Your debts'!$F$10&lt;&gt;"",'Your debts'!$F$11&lt;'Your debts'!$F$10),AG85,0)+IF(AND('Your debts'!$F$12&lt;&gt;"",'Your debts'!$F$10&lt;&gt;"",'Your debts'!$F$12&lt;'Your debts'!$F$10),AL85,0)+IF(AND('Your debts'!$F$13&lt;&gt;"",'Your debts'!$F$10&lt;&gt;"",'Your debts'!$F$13&lt;'Your debts'!$F$10),AQ85,0)+IF(AND('Your debts'!$F$14&lt;&gt;"",'Your debts'!$F$10&lt;&gt;"",'Your debts'!$F$14&lt;'Your debts'!$F$10),AV85,0)+IF(AND('Your debts'!$F$15&lt;&gt;"",'Your debts'!$F$10&lt;&gt;"",'Your debts'!$F$15&lt;'Your debts'!$F$10),BA85,0)))))</f>
        <v/>
      </c>
      <c r="AD85" s="33">
        <f>AB85-AC85</f>
        <v/>
      </c>
      <c r="AE85" s="33">
        <f>IF(AI84&lt;=0,0,ROUND(AI84*(1+'Your debts'!$D$11/1200),2))</f>
        <v/>
      </c>
      <c r="AF85" s="33">
        <f>IF(AE85&lt;=0,0,MIN('Your debts'!$E$11,AE85))</f>
        <v/>
      </c>
      <c r="AG85" s="33">
        <f>AE85-AF85</f>
        <v/>
      </c>
      <c r="AH85" s="33">
        <f>IF('Your debts'!$F$11="",0,MIN(AG85,MAX(0,MAX(0,'Your debts'!$C$19-(G85+L85+Q85+V85+AA85+AF85+AK85+AP85+AU85+AZ85))-(IF(AND('Your debts'!$F$6&lt;&gt;"",'Your debts'!$F$11&lt;&gt;"",'Your debts'!$F$6&lt;'Your debts'!$F$11),H85,0)+IF(AND('Your debts'!$F$7&lt;&gt;"",'Your debts'!$F$11&lt;&gt;"",'Your debts'!$F$7&lt;'Your debts'!$F$11),M85,0)+IF(AND('Your debts'!$F$8&lt;&gt;"",'Your debts'!$F$11&lt;&gt;"",'Your debts'!$F$8&lt;'Your debts'!$F$11),R85,0)+IF(AND('Your debts'!$F$9&lt;&gt;"",'Your debts'!$F$11&lt;&gt;"",'Your debts'!$F$9&lt;'Your debts'!$F$11),W85,0)+IF(AND('Your debts'!$F$10&lt;&gt;"",'Your debts'!$F$11&lt;&gt;"",'Your debts'!$F$10&lt;'Your debts'!$F$11),AB85,0)+IF(AND('Your debts'!$F$12&lt;&gt;"",'Your debts'!$F$11&lt;&gt;"",'Your debts'!$F$12&lt;'Your debts'!$F$11),AL85,0)+IF(AND('Your debts'!$F$13&lt;&gt;"",'Your debts'!$F$11&lt;&gt;"",'Your debts'!$F$13&lt;'Your debts'!$F$11),AQ85,0)+IF(AND('Your debts'!$F$14&lt;&gt;"",'Your debts'!$F$11&lt;&gt;"",'Your debts'!$F$14&lt;'Your debts'!$F$11),AV85,0)+IF(AND('Your debts'!$F$15&lt;&gt;"",'Your debts'!$F$11&lt;&gt;"",'Your debts'!$F$15&lt;'Your debts'!$F$11),BA85,0)))))</f>
        <v/>
      </c>
      <c r="AI85" s="33">
        <f>AG85-AH85</f>
        <v/>
      </c>
      <c r="AJ85" s="33">
        <f>IF(AN84&lt;=0,0,ROUND(AN84*(1+'Your debts'!$D$12/1200),2))</f>
        <v/>
      </c>
      <c r="AK85" s="33">
        <f>IF(AJ85&lt;=0,0,MIN('Your debts'!$E$12,AJ85))</f>
        <v/>
      </c>
      <c r="AL85" s="33">
        <f>AJ85-AK85</f>
        <v/>
      </c>
      <c r="AM85" s="33">
        <f>IF('Your debts'!$F$12="",0,MIN(AL85,MAX(0,MAX(0,'Your debts'!$C$19-(G85+L85+Q85+V85+AA85+AF85+AK85+AP85+AU85+AZ85))-(IF(AND('Your debts'!$F$6&lt;&gt;"",'Your debts'!$F$12&lt;&gt;"",'Your debts'!$F$6&lt;'Your debts'!$F$12),H85,0)+IF(AND('Your debts'!$F$7&lt;&gt;"",'Your debts'!$F$12&lt;&gt;"",'Your debts'!$F$7&lt;'Your debts'!$F$12),M85,0)+IF(AND('Your debts'!$F$8&lt;&gt;"",'Your debts'!$F$12&lt;&gt;"",'Your debts'!$F$8&lt;'Your debts'!$F$12),R85,0)+IF(AND('Your debts'!$F$9&lt;&gt;"",'Your debts'!$F$12&lt;&gt;"",'Your debts'!$F$9&lt;'Your debts'!$F$12),W85,0)+IF(AND('Your debts'!$F$10&lt;&gt;"",'Your debts'!$F$12&lt;&gt;"",'Your debts'!$F$10&lt;'Your debts'!$F$12),AB85,0)+IF(AND('Your debts'!$F$11&lt;&gt;"",'Your debts'!$F$12&lt;&gt;"",'Your debts'!$F$11&lt;'Your debts'!$F$12),AG85,0)+IF(AND('Your debts'!$F$13&lt;&gt;"",'Your debts'!$F$12&lt;&gt;"",'Your debts'!$F$13&lt;'Your debts'!$F$12),AQ85,0)+IF(AND('Your debts'!$F$14&lt;&gt;"",'Your debts'!$F$12&lt;&gt;"",'Your debts'!$F$14&lt;'Your debts'!$F$12),AV85,0)+IF(AND('Your debts'!$F$15&lt;&gt;"",'Your debts'!$F$12&lt;&gt;"",'Your debts'!$F$15&lt;'Your debts'!$F$12),BA85,0)))))</f>
        <v/>
      </c>
      <c r="AN85" s="33">
        <f>AL85-AM85</f>
        <v/>
      </c>
      <c r="AO85" s="33">
        <f>IF(AS84&lt;=0,0,ROUND(AS84*(1+'Your debts'!$D$13/1200),2))</f>
        <v/>
      </c>
      <c r="AP85" s="33">
        <f>IF(AO85&lt;=0,0,MIN('Your debts'!$E$13,AO85))</f>
        <v/>
      </c>
      <c r="AQ85" s="33">
        <f>AO85-AP85</f>
        <v/>
      </c>
      <c r="AR85" s="33">
        <f>IF('Your debts'!$F$13="",0,MIN(AQ85,MAX(0,MAX(0,'Your debts'!$C$19-(G85+L85+Q85+V85+AA85+AF85+AK85+AP85+AU85+AZ85))-(IF(AND('Your debts'!$F$6&lt;&gt;"",'Your debts'!$F$13&lt;&gt;"",'Your debts'!$F$6&lt;'Your debts'!$F$13),H85,0)+IF(AND('Your debts'!$F$7&lt;&gt;"",'Your debts'!$F$13&lt;&gt;"",'Your debts'!$F$7&lt;'Your debts'!$F$13),M85,0)+IF(AND('Your debts'!$F$8&lt;&gt;"",'Your debts'!$F$13&lt;&gt;"",'Your debts'!$F$8&lt;'Your debts'!$F$13),R85,0)+IF(AND('Your debts'!$F$9&lt;&gt;"",'Your debts'!$F$13&lt;&gt;"",'Your debts'!$F$9&lt;'Your debts'!$F$13),W85,0)+IF(AND('Your debts'!$F$10&lt;&gt;"",'Your debts'!$F$13&lt;&gt;"",'Your debts'!$F$10&lt;'Your debts'!$F$13),AB85,0)+IF(AND('Your debts'!$F$11&lt;&gt;"",'Your debts'!$F$13&lt;&gt;"",'Your debts'!$F$11&lt;'Your debts'!$F$13),AG85,0)+IF(AND('Your debts'!$F$12&lt;&gt;"",'Your debts'!$F$13&lt;&gt;"",'Your debts'!$F$12&lt;'Your debts'!$F$13),AL85,0)+IF(AND('Your debts'!$F$14&lt;&gt;"",'Your debts'!$F$13&lt;&gt;"",'Your debts'!$F$14&lt;'Your debts'!$F$13),AV85,0)+IF(AND('Your debts'!$F$15&lt;&gt;"",'Your debts'!$F$13&lt;&gt;"",'Your debts'!$F$15&lt;'Your debts'!$F$13),BA85,0)))))</f>
        <v/>
      </c>
      <c r="AS85" s="33">
        <f>AQ85-AR85</f>
        <v/>
      </c>
      <c r="AT85" s="33">
        <f>IF(AX84&lt;=0,0,ROUND(AX84*(1+'Your debts'!$D$14/1200),2))</f>
        <v/>
      </c>
      <c r="AU85" s="33">
        <f>IF(AT85&lt;=0,0,MIN('Your debts'!$E$14,AT85))</f>
        <v/>
      </c>
      <c r="AV85" s="33">
        <f>AT85-AU85</f>
        <v/>
      </c>
      <c r="AW85" s="33">
        <f>IF('Your debts'!$F$14="",0,MIN(AV85,MAX(0,MAX(0,'Your debts'!$C$19-(G85+L85+Q85+V85+AA85+AF85+AK85+AP85+AU85+AZ85))-(IF(AND('Your debts'!$F$6&lt;&gt;"",'Your debts'!$F$14&lt;&gt;"",'Your debts'!$F$6&lt;'Your debts'!$F$14),H85,0)+IF(AND('Your debts'!$F$7&lt;&gt;"",'Your debts'!$F$14&lt;&gt;"",'Your debts'!$F$7&lt;'Your debts'!$F$14),M85,0)+IF(AND('Your debts'!$F$8&lt;&gt;"",'Your debts'!$F$14&lt;&gt;"",'Your debts'!$F$8&lt;'Your debts'!$F$14),R85,0)+IF(AND('Your debts'!$F$9&lt;&gt;"",'Your debts'!$F$14&lt;&gt;"",'Your debts'!$F$9&lt;'Your debts'!$F$14),W85,0)+IF(AND('Your debts'!$F$10&lt;&gt;"",'Your debts'!$F$14&lt;&gt;"",'Your debts'!$F$10&lt;'Your debts'!$F$14),AB85,0)+IF(AND('Your debts'!$F$11&lt;&gt;"",'Your debts'!$F$14&lt;&gt;"",'Your debts'!$F$11&lt;'Your debts'!$F$14),AG85,0)+IF(AND('Your debts'!$F$12&lt;&gt;"",'Your debts'!$F$14&lt;&gt;"",'Your debts'!$F$12&lt;'Your debts'!$F$14),AL85,0)+IF(AND('Your debts'!$F$13&lt;&gt;"",'Your debts'!$F$14&lt;&gt;"",'Your debts'!$F$13&lt;'Your debts'!$F$14),AQ85,0)+IF(AND('Your debts'!$F$15&lt;&gt;"",'Your debts'!$F$14&lt;&gt;"",'Your debts'!$F$15&lt;'Your debts'!$F$14),BA85,0)))))</f>
        <v/>
      </c>
      <c r="AX85" s="33">
        <f>AV85-AW85</f>
        <v/>
      </c>
      <c r="AY85" s="33">
        <f>IF(BC84&lt;=0,0,ROUND(BC84*(1+'Your debts'!$D$15/1200),2))</f>
        <v/>
      </c>
      <c r="AZ85" s="33">
        <f>IF(AY85&lt;=0,0,MIN('Your debts'!$E$15,AY85))</f>
        <v/>
      </c>
      <c r="BA85" s="33">
        <f>AY85-AZ85</f>
        <v/>
      </c>
      <c r="BB85" s="33">
        <f>IF('Your debts'!$F$15="",0,MIN(BA85,MAX(0,MAX(0,'Your debts'!$C$19-(G85+L85+Q85+V85+AA85+AF85+AK85+AP85+AU85+AZ85))-(IF(AND('Your debts'!$F$6&lt;&gt;"",'Your debts'!$F$15&lt;&gt;"",'Your debts'!$F$6&lt;'Your debts'!$F$15),H85,0)+IF(AND('Your debts'!$F$7&lt;&gt;"",'Your debts'!$F$15&lt;&gt;"",'Your debts'!$F$7&lt;'Your debts'!$F$15),M85,0)+IF(AND('Your debts'!$F$8&lt;&gt;"",'Your debts'!$F$15&lt;&gt;"",'Your debts'!$F$8&lt;'Your debts'!$F$15),R85,0)+IF(AND('Your debts'!$F$9&lt;&gt;"",'Your debts'!$F$15&lt;&gt;"",'Your debts'!$F$9&lt;'Your debts'!$F$15),W85,0)+IF(AND('Your debts'!$F$10&lt;&gt;"",'Your debts'!$F$15&lt;&gt;"",'Your debts'!$F$10&lt;'Your debts'!$F$15),AB85,0)+IF(AND('Your debts'!$F$11&lt;&gt;"",'Your debts'!$F$15&lt;&gt;"",'Your debts'!$F$11&lt;'Your debts'!$F$15),AG85,0)+IF(AND('Your debts'!$F$12&lt;&gt;"",'Your debts'!$F$15&lt;&gt;"",'Your debts'!$F$12&lt;'Your debts'!$F$15),AL85,0)+IF(AND('Your debts'!$F$13&lt;&gt;"",'Your debts'!$F$15&lt;&gt;"",'Your debts'!$F$13&lt;'Your debts'!$F$15),AQ85,0)+IF(AND('Your debts'!$F$14&lt;&gt;"",'Your debts'!$F$15&lt;&gt;"",'Your debts'!$F$14&lt;'Your debts'!$F$15),AV85,0)))))</f>
        <v/>
      </c>
      <c r="BC85" s="33">
        <f>BA85-BB85</f>
        <v/>
      </c>
    </row>
    <row r="86">
      <c r="A86" s="30" t="n">
        <v>71</v>
      </c>
      <c r="B86" s="31">
        <f>EDATE($B$15,71)</f>
        <v/>
      </c>
      <c r="C86" s="32">
        <f>IF(J85&lt;=0,0,F86-J85)+IF(O85&lt;=0,0,K86-O85)+IF(T85&lt;=0,0,P86-T85)+IF(Y85&lt;=0,0,U86-Y85)+IF(AD85&lt;=0,0,Z86-AD85)+IF(AI85&lt;=0,0,AE86-AI85)+IF(AN85&lt;=0,0,AJ86-AN85)+IF(AS85&lt;=0,0,AO86-AS85)+IF(AX85&lt;=0,0,AT86-AX85)+IF(BC85&lt;=0,0,AY86-BC85)</f>
        <v/>
      </c>
      <c r="D86" s="32">
        <f>G86+I86+L86+N86+Q86+S86+V86+X86+AA86+AC86+AF86+AH86+AK86+AM86+AP86+AR86+AU86+AW86+AZ86+BB86</f>
        <v/>
      </c>
      <c r="E86" s="32">
        <f>J86+O86+T86+Y86+AD86+AI86+AN86+AS86+AX86+BC86</f>
        <v/>
      </c>
      <c r="F86" s="33">
        <f>IF(J85&lt;=0,0,ROUND(J85*(1+'Your debts'!$D$6/1200),2))</f>
        <v/>
      </c>
      <c r="G86" s="33">
        <f>IF(F86&lt;=0,0,MIN('Your debts'!$E$6,F86))</f>
        <v/>
      </c>
      <c r="H86" s="33">
        <f>F86-G86</f>
        <v/>
      </c>
      <c r="I86" s="33">
        <f>IF('Your debts'!$F$6="",0,MIN(H86,MAX(0,MAX(0,'Your debts'!$C$19-(G86+L86+Q86+V86+AA86+AF86+AK86+AP86+AU86+AZ86))-(IF(AND('Your debts'!$F$7&lt;&gt;"",'Your debts'!$F$6&lt;&gt;"",'Your debts'!$F$7&lt;'Your debts'!$F$6),M86,0)+IF(AND('Your debts'!$F$8&lt;&gt;"",'Your debts'!$F$6&lt;&gt;"",'Your debts'!$F$8&lt;'Your debts'!$F$6),R86,0)+IF(AND('Your debts'!$F$9&lt;&gt;"",'Your debts'!$F$6&lt;&gt;"",'Your debts'!$F$9&lt;'Your debts'!$F$6),W86,0)+IF(AND('Your debts'!$F$10&lt;&gt;"",'Your debts'!$F$6&lt;&gt;"",'Your debts'!$F$10&lt;'Your debts'!$F$6),AB86,0)+IF(AND('Your debts'!$F$11&lt;&gt;"",'Your debts'!$F$6&lt;&gt;"",'Your debts'!$F$11&lt;'Your debts'!$F$6),AG86,0)+IF(AND('Your debts'!$F$12&lt;&gt;"",'Your debts'!$F$6&lt;&gt;"",'Your debts'!$F$12&lt;'Your debts'!$F$6),AL86,0)+IF(AND('Your debts'!$F$13&lt;&gt;"",'Your debts'!$F$6&lt;&gt;"",'Your debts'!$F$13&lt;'Your debts'!$F$6),AQ86,0)+IF(AND('Your debts'!$F$14&lt;&gt;"",'Your debts'!$F$6&lt;&gt;"",'Your debts'!$F$14&lt;'Your debts'!$F$6),AV86,0)+IF(AND('Your debts'!$F$15&lt;&gt;"",'Your debts'!$F$6&lt;&gt;"",'Your debts'!$F$15&lt;'Your debts'!$F$6),BA86,0)))))</f>
        <v/>
      </c>
      <c r="J86" s="33">
        <f>H86-I86</f>
        <v/>
      </c>
      <c r="K86" s="33">
        <f>IF(O85&lt;=0,0,ROUND(O85*(1+'Your debts'!$D$7/1200),2))</f>
        <v/>
      </c>
      <c r="L86" s="33">
        <f>IF(K86&lt;=0,0,MIN('Your debts'!$E$7,K86))</f>
        <v/>
      </c>
      <c r="M86" s="33">
        <f>K86-L86</f>
        <v/>
      </c>
      <c r="N86" s="33">
        <f>IF('Your debts'!$F$7="",0,MIN(M86,MAX(0,MAX(0,'Your debts'!$C$19-(G86+L86+Q86+V86+AA86+AF86+AK86+AP86+AU86+AZ86))-(IF(AND('Your debts'!$F$6&lt;&gt;"",'Your debts'!$F$7&lt;&gt;"",'Your debts'!$F$6&lt;'Your debts'!$F$7),H86,0)+IF(AND('Your debts'!$F$8&lt;&gt;"",'Your debts'!$F$7&lt;&gt;"",'Your debts'!$F$8&lt;'Your debts'!$F$7),R86,0)+IF(AND('Your debts'!$F$9&lt;&gt;"",'Your debts'!$F$7&lt;&gt;"",'Your debts'!$F$9&lt;'Your debts'!$F$7),W86,0)+IF(AND('Your debts'!$F$10&lt;&gt;"",'Your debts'!$F$7&lt;&gt;"",'Your debts'!$F$10&lt;'Your debts'!$F$7),AB86,0)+IF(AND('Your debts'!$F$11&lt;&gt;"",'Your debts'!$F$7&lt;&gt;"",'Your debts'!$F$11&lt;'Your debts'!$F$7),AG86,0)+IF(AND('Your debts'!$F$12&lt;&gt;"",'Your debts'!$F$7&lt;&gt;"",'Your debts'!$F$12&lt;'Your debts'!$F$7),AL86,0)+IF(AND('Your debts'!$F$13&lt;&gt;"",'Your debts'!$F$7&lt;&gt;"",'Your debts'!$F$13&lt;'Your debts'!$F$7),AQ86,0)+IF(AND('Your debts'!$F$14&lt;&gt;"",'Your debts'!$F$7&lt;&gt;"",'Your debts'!$F$14&lt;'Your debts'!$F$7),AV86,0)+IF(AND('Your debts'!$F$15&lt;&gt;"",'Your debts'!$F$7&lt;&gt;"",'Your debts'!$F$15&lt;'Your debts'!$F$7),BA86,0)))))</f>
        <v/>
      </c>
      <c r="O86" s="33">
        <f>M86-N86</f>
        <v/>
      </c>
      <c r="P86" s="33">
        <f>IF(T85&lt;=0,0,ROUND(T85*(1+'Your debts'!$D$8/1200),2))</f>
        <v/>
      </c>
      <c r="Q86" s="33">
        <f>IF(P86&lt;=0,0,MIN('Your debts'!$E$8,P86))</f>
        <v/>
      </c>
      <c r="R86" s="33">
        <f>P86-Q86</f>
        <v/>
      </c>
      <c r="S86" s="33">
        <f>IF('Your debts'!$F$8="",0,MIN(R86,MAX(0,MAX(0,'Your debts'!$C$19-(G86+L86+Q86+V86+AA86+AF86+AK86+AP86+AU86+AZ86))-(IF(AND('Your debts'!$F$6&lt;&gt;"",'Your debts'!$F$8&lt;&gt;"",'Your debts'!$F$6&lt;'Your debts'!$F$8),H86,0)+IF(AND('Your debts'!$F$7&lt;&gt;"",'Your debts'!$F$8&lt;&gt;"",'Your debts'!$F$7&lt;'Your debts'!$F$8),M86,0)+IF(AND('Your debts'!$F$9&lt;&gt;"",'Your debts'!$F$8&lt;&gt;"",'Your debts'!$F$9&lt;'Your debts'!$F$8),W86,0)+IF(AND('Your debts'!$F$10&lt;&gt;"",'Your debts'!$F$8&lt;&gt;"",'Your debts'!$F$10&lt;'Your debts'!$F$8),AB86,0)+IF(AND('Your debts'!$F$11&lt;&gt;"",'Your debts'!$F$8&lt;&gt;"",'Your debts'!$F$11&lt;'Your debts'!$F$8),AG86,0)+IF(AND('Your debts'!$F$12&lt;&gt;"",'Your debts'!$F$8&lt;&gt;"",'Your debts'!$F$12&lt;'Your debts'!$F$8),AL86,0)+IF(AND('Your debts'!$F$13&lt;&gt;"",'Your debts'!$F$8&lt;&gt;"",'Your debts'!$F$13&lt;'Your debts'!$F$8),AQ86,0)+IF(AND('Your debts'!$F$14&lt;&gt;"",'Your debts'!$F$8&lt;&gt;"",'Your debts'!$F$14&lt;'Your debts'!$F$8),AV86,0)+IF(AND('Your debts'!$F$15&lt;&gt;"",'Your debts'!$F$8&lt;&gt;"",'Your debts'!$F$15&lt;'Your debts'!$F$8),BA86,0)))))</f>
        <v/>
      </c>
      <c r="T86" s="33">
        <f>R86-S86</f>
        <v/>
      </c>
      <c r="U86" s="33">
        <f>IF(Y85&lt;=0,0,ROUND(Y85*(1+'Your debts'!$D$9/1200),2))</f>
        <v/>
      </c>
      <c r="V86" s="33">
        <f>IF(U86&lt;=0,0,MIN('Your debts'!$E$9,U86))</f>
        <v/>
      </c>
      <c r="W86" s="33">
        <f>U86-V86</f>
        <v/>
      </c>
      <c r="X86" s="33">
        <f>IF('Your debts'!$F$9="",0,MIN(W86,MAX(0,MAX(0,'Your debts'!$C$19-(G86+L86+Q86+V86+AA86+AF86+AK86+AP86+AU86+AZ86))-(IF(AND('Your debts'!$F$6&lt;&gt;"",'Your debts'!$F$9&lt;&gt;"",'Your debts'!$F$6&lt;'Your debts'!$F$9),H86,0)+IF(AND('Your debts'!$F$7&lt;&gt;"",'Your debts'!$F$9&lt;&gt;"",'Your debts'!$F$7&lt;'Your debts'!$F$9),M86,0)+IF(AND('Your debts'!$F$8&lt;&gt;"",'Your debts'!$F$9&lt;&gt;"",'Your debts'!$F$8&lt;'Your debts'!$F$9),R86,0)+IF(AND('Your debts'!$F$10&lt;&gt;"",'Your debts'!$F$9&lt;&gt;"",'Your debts'!$F$10&lt;'Your debts'!$F$9),AB86,0)+IF(AND('Your debts'!$F$11&lt;&gt;"",'Your debts'!$F$9&lt;&gt;"",'Your debts'!$F$11&lt;'Your debts'!$F$9),AG86,0)+IF(AND('Your debts'!$F$12&lt;&gt;"",'Your debts'!$F$9&lt;&gt;"",'Your debts'!$F$12&lt;'Your debts'!$F$9),AL86,0)+IF(AND('Your debts'!$F$13&lt;&gt;"",'Your debts'!$F$9&lt;&gt;"",'Your debts'!$F$13&lt;'Your debts'!$F$9),AQ86,0)+IF(AND('Your debts'!$F$14&lt;&gt;"",'Your debts'!$F$9&lt;&gt;"",'Your debts'!$F$14&lt;'Your debts'!$F$9),AV86,0)+IF(AND('Your debts'!$F$15&lt;&gt;"",'Your debts'!$F$9&lt;&gt;"",'Your debts'!$F$15&lt;'Your debts'!$F$9),BA86,0)))))</f>
        <v/>
      </c>
      <c r="Y86" s="33">
        <f>W86-X86</f>
        <v/>
      </c>
      <c r="Z86" s="33">
        <f>IF(AD85&lt;=0,0,ROUND(AD85*(1+'Your debts'!$D$10/1200),2))</f>
        <v/>
      </c>
      <c r="AA86" s="33">
        <f>IF(Z86&lt;=0,0,MIN('Your debts'!$E$10,Z86))</f>
        <v/>
      </c>
      <c r="AB86" s="33">
        <f>Z86-AA86</f>
        <v/>
      </c>
      <c r="AC86" s="33">
        <f>IF('Your debts'!$F$10="",0,MIN(AB86,MAX(0,MAX(0,'Your debts'!$C$19-(G86+L86+Q86+V86+AA86+AF86+AK86+AP86+AU86+AZ86))-(IF(AND('Your debts'!$F$6&lt;&gt;"",'Your debts'!$F$10&lt;&gt;"",'Your debts'!$F$6&lt;'Your debts'!$F$10),H86,0)+IF(AND('Your debts'!$F$7&lt;&gt;"",'Your debts'!$F$10&lt;&gt;"",'Your debts'!$F$7&lt;'Your debts'!$F$10),M86,0)+IF(AND('Your debts'!$F$8&lt;&gt;"",'Your debts'!$F$10&lt;&gt;"",'Your debts'!$F$8&lt;'Your debts'!$F$10),R86,0)+IF(AND('Your debts'!$F$9&lt;&gt;"",'Your debts'!$F$10&lt;&gt;"",'Your debts'!$F$9&lt;'Your debts'!$F$10),W86,0)+IF(AND('Your debts'!$F$11&lt;&gt;"",'Your debts'!$F$10&lt;&gt;"",'Your debts'!$F$11&lt;'Your debts'!$F$10),AG86,0)+IF(AND('Your debts'!$F$12&lt;&gt;"",'Your debts'!$F$10&lt;&gt;"",'Your debts'!$F$12&lt;'Your debts'!$F$10),AL86,0)+IF(AND('Your debts'!$F$13&lt;&gt;"",'Your debts'!$F$10&lt;&gt;"",'Your debts'!$F$13&lt;'Your debts'!$F$10),AQ86,0)+IF(AND('Your debts'!$F$14&lt;&gt;"",'Your debts'!$F$10&lt;&gt;"",'Your debts'!$F$14&lt;'Your debts'!$F$10),AV86,0)+IF(AND('Your debts'!$F$15&lt;&gt;"",'Your debts'!$F$10&lt;&gt;"",'Your debts'!$F$15&lt;'Your debts'!$F$10),BA86,0)))))</f>
        <v/>
      </c>
      <c r="AD86" s="33">
        <f>AB86-AC86</f>
        <v/>
      </c>
      <c r="AE86" s="33">
        <f>IF(AI85&lt;=0,0,ROUND(AI85*(1+'Your debts'!$D$11/1200),2))</f>
        <v/>
      </c>
      <c r="AF86" s="33">
        <f>IF(AE86&lt;=0,0,MIN('Your debts'!$E$11,AE86))</f>
        <v/>
      </c>
      <c r="AG86" s="33">
        <f>AE86-AF86</f>
        <v/>
      </c>
      <c r="AH86" s="33">
        <f>IF('Your debts'!$F$11="",0,MIN(AG86,MAX(0,MAX(0,'Your debts'!$C$19-(G86+L86+Q86+V86+AA86+AF86+AK86+AP86+AU86+AZ86))-(IF(AND('Your debts'!$F$6&lt;&gt;"",'Your debts'!$F$11&lt;&gt;"",'Your debts'!$F$6&lt;'Your debts'!$F$11),H86,0)+IF(AND('Your debts'!$F$7&lt;&gt;"",'Your debts'!$F$11&lt;&gt;"",'Your debts'!$F$7&lt;'Your debts'!$F$11),M86,0)+IF(AND('Your debts'!$F$8&lt;&gt;"",'Your debts'!$F$11&lt;&gt;"",'Your debts'!$F$8&lt;'Your debts'!$F$11),R86,0)+IF(AND('Your debts'!$F$9&lt;&gt;"",'Your debts'!$F$11&lt;&gt;"",'Your debts'!$F$9&lt;'Your debts'!$F$11),W86,0)+IF(AND('Your debts'!$F$10&lt;&gt;"",'Your debts'!$F$11&lt;&gt;"",'Your debts'!$F$10&lt;'Your debts'!$F$11),AB86,0)+IF(AND('Your debts'!$F$12&lt;&gt;"",'Your debts'!$F$11&lt;&gt;"",'Your debts'!$F$12&lt;'Your debts'!$F$11),AL86,0)+IF(AND('Your debts'!$F$13&lt;&gt;"",'Your debts'!$F$11&lt;&gt;"",'Your debts'!$F$13&lt;'Your debts'!$F$11),AQ86,0)+IF(AND('Your debts'!$F$14&lt;&gt;"",'Your debts'!$F$11&lt;&gt;"",'Your debts'!$F$14&lt;'Your debts'!$F$11),AV86,0)+IF(AND('Your debts'!$F$15&lt;&gt;"",'Your debts'!$F$11&lt;&gt;"",'Your debts'!$F$15&lt;'Your debts'!$F$11),BA86,0)))))</f>
        <v/>
      </c>
      <c r="AI86" s="33">
        <f>AG86-AH86</f>
        <v/>
      </c>
      <c r="AJ86" s="33">
        <f>IF(AN85&lt;=0,0,ROUND(AN85*(1+'Your debts'!$D$12/1200),2))</f>
        <v/>
      </c>
      <c r="AK86" s="33">
        <f>IF(AJ86&lt;=0,0,MIN('Your debts'!$E$12,AJ86))</f>
        <v/>
      </c>
      <c r="AL86" s="33">
        <f>AJ86-AK86</f>
        <v/>
      </c>
      <c r="AM86" s="33">
        <f>IF('Your debts'!$F$12="",0,MIN(AL86,MAX(0,MAX(0,'Your debts'!$C$19-(G86+L86+Q86+V86+AA86+AF86+AK86+AP86+AU86+AZ86))-(IF(AND('Your debts'!$F$6&lt;&gt;"",'Your debts'!$F$12&lt;&gt;"",'Your debts'!$F$6&lt;'Your debts'!$F$12),H86,0)+IF(AND('Your debts'!$F$7&lt;&gt;"",'Your debts'!$F$12&lt;&gt;"",'Your debts'!$F$7&lt;'Your debts'!$F$12),M86,0)+IF(AND('Your debts'!$F$8&lt;&gt;"",'Your debts'!$F$12&lt;&gt;"",'Your debts'!$F$8&lt;'Your debts'!$F$12),R86,0)+IF(AND('Your debts'!$F$9&lt;&gt;"",'Your debts'!$F$12&lt;&gt;"",'Your debts'!$F$9&lt;'Your debts'!$F$12),W86,0)+IF(AND('Your debts'!$F$10&lt;&gt;"",'Your debts'!$F$12&lt;&gt;"",'Your debts'!$F$10&lt;'Your debts'!$F$12),AB86,0)+IF(AND('Your debts'!$F$11&lt;&gt;"",'Your debts'!$F$12&lt;&gt;"",'Your debts'!$F$11&lt;'Your debts'!$F$12),AG86,0)+IF(AND('Your debts'!$F$13&lt;&gt;"",'Your debts'!$F$12&lt;&gt;"",'Your debts'!$F$13&lt;'Your debts'!$F$12),AQ86,0)+IF(AND('Your debts'!$F$14&lt;&gt;"",'Your debts'!$F$12&lt;&gt;"",'Your debts'!$F$14&lt;'Your debts'!$F$12),AV86,0)+IF(AND('Your debts'!$F$15&lt;&gt;"",'Your debts'!$F$12&lt;&gt;"",'Your debts'!$F$15&lt;'Your debts'!$F$12),BA86,0)))))</f>
        <v/>
      </c>
      <c r="AN86" s="33">
        <f>AL86-AM86</f>
        <v/>
      </c>
      <c r="AO86" s="33">
        <f>IF(AS85&lt;=0,0,ROUND(AS85*(1+'Your debts'!$D$13/1200),2))</f>
        <v/>
      </c>
      <c r="AP86" s="33">
        <f>IF(AO86&lt;=0,0,MIN('Your debts'!$E$13,AO86))</f>
        <v/>
      </c>
      <c r="AQ86" s="33">
        <f>AO86-AP86</f>
        <v/>
      </c>
      <c r="AR86" s="33">
        <f>IF('Your debts'!$F$13="",0,MIN(AQ86,MAX(0,MAX(0,'Your debts'!$C$19-(G86+L86+Q86+V86+AA86+AF86+AK86+AP86+AU86+AZ86))-(IF(AND('Your debts'!$F$6&lt;&gt;"",'Your debts'!$F$13&lt;&gt;"",'Your debts'!$F$6&lt;'Your debts'!$F$13),H86,0)+IF(AND('Your debts'!$F$7&lt;&gt;"",'Your debts'!$F$13&lt;&gt;"",'Your debts'!$F$7&lt;'Your debts'!$F$13),M86,0)+IF(AND('Your debts'!$F$8&lt;&gt;"",'Your debts'!$F$13&lt;&gt;"",'Your debts'!$F$8&lt;'Your debts'!$F$13),R86,0)+IF(AND('Your debts'!$F$9&lt;&gt;"",'Your debts'!$F$13&lt;&gt;"",'Your debts'!$F$9&lt;'Your debts'!$F$13),W86,0)+IF(AND('Your debts'!$F$10&lt;&gt;"",'Your debts'!$F$13&lt;&gt;"",'Your debts'!$F$10&lt;'Your debts'!$F$13),AB86,0)+IF(AND('Your debts'!$F$11&lt;&gt;"",'Your debts'!$F$13&lt;&gt;"",'Your debts'!$F$11&lt;'Your debts'!$F$13),AG86,0)+IF(AND('Your debts'!$F$12&lt;&gt;"",'Your debts'!$F$13&lt;&gt;"",'Your debts'!$F$12&lt;'Your debts'!$F$13),AL86,0)+IF(AND('Your debts'!$F$14&lt;&gt;"",'Your debts'!$F$13&lt;&gt;"",'Your debts'!$F$14&lt;'Your debts'!$F$13),AV86,0)+IF(AND('Your debts'!$F$15&lt;&gt;"",'Your debts'!$F$13&lt;&gt;"",'Your debts'!$F$15&lt;'Your debts'!$F$13),BA86,0)))))</f>
        <v/>
      </c>
      <c r="AS86" s="33">
        <f>AQ86-AR86</f>
        <v/>
      </c>
      <c r="AT86" s="33">
        <f>IF(AX85&lt;=0,0,ROUND(AX85*(1+'Your debts'!$D$14/1200),2))</f>
        <v/>
      </c>
      <c r="AU86" s="33">
        <f>IF(AT86&lt;=0,0,MIN('Your debts'!$E$14,AT86))</f>
        <v/>
      </c>
      <c r="AV86" s="33">
        <f>AT86-AU86</f>
        <v/>
      </c>
      <c r="AW86" s="33">
        <f>IF('Your debts'!$F$14="",0,MIN(AV86,MAX(0,MAX(0,'Your debts'!$C$19-(G86+L86+Q86+V86+AA86+AF86+AK86+AP86+AU86+AZ86))-(IF(AND('Your debts'!$F$6&lt;&gt;"",'Your debts'!$F$14&lt;&gt;"",'Your debts'!$F$6&lt;'Your debts'!$F$14),H86,0)+IF(AND('Your debts'!$F$7&lt;&gt;"",'Your debts'!$F$14&lt;&gt;"",'Your debts'!$F$7&lt;'Your debts'!$F$14),M86,0)+IF(AND('Your debts'!$F$8&lt;&gt;"",'Your debts'!$F$14&lt;&gt;"",'Your debts'!$F$8&lt;'Your debts'!$F$14),R86,0)+IF(AND('Your debts'!$F$9&lt;&gt;"",'Your debts'!$F$14&lt;&gt;"",'Your debts'!$F$9&lt;'Your debts'!$F$14),W86,0)+IF(AND('Your debts'!$F$10&lt;&gt;"",'Your debts'!$F$14&lt;&gt;"",'Your debts'!$F$10&lt;'Your debts'!$F$14),AB86,0)+IF(AND('Your debts'!$F$11&lt;&gt;"",'Your debts'!$F$14&lt;&gt;"",'Your debts'!$F$11&lt;'Your debts'!$F$14),AG86,0)+IF(AND('Your debts'!$F$12&lt;&gt;"",'Your debts'!$F$14&lt;&gt;"",'Your debts'!$F$12&lt;'Your debts'!$F$14),AL86,0)+IF(AND('Your debts'!$F$13&lt;&gt;"",'Your debts'!$F$14&lt;&gt;"",'Your debts'!$F$13&lt;'Your debts'!$F$14),AQ86,0)+IF(AND('Your debts'!$F$15&lt;&gt;"",'Your debts'!$F$14&lt;&gt;"",'Your debts'!$F$15&lt;'Your debts'!$F$14),BA86,0)))))</f>
        <v/>
      </c>
      <c r="AX86" s="33">
        <f>AV86-AW86</f>
        <v/>
      </c>
      <c r="AY86" s="33">
        <f>IF(BC85&lt;=0,0,ROUND(BC85*(1+'Your debts'!$D$15/1200),2))</f>
        <v/>
      </c>
      <c r="AZ86" s="33">
        <f>IF(AY86&lt;=0,0,MIN('Your debts'!$E$15,AY86))</f>
        <v/>
      </c>
      <c r="BA86" s="33">
        <f>AY86-AZ86</f>
        <v/>
      </c>
      <c r="BB86" s="33">
        <f>IF('Your debts'!$F$15="",0,MIN(BA86,MAX(0,MAX(0,'Your debts'!$C$19-(G86+L86+Q86+V86+AA86+AF86+AK86+AP86+AU86+AZ86))-(IF(AND('Your debts'!$F$6&lt;&gt;"",'Your debts'!$F$15&lt;&gt;"",'Your debts'!$F$6&lt;'Your debts'!$F$15),H86,0)+IF(AND('Your debts'!$F$7&lt;&gt;"",'Your debts'!$F$15&lt;&gt;"",'Your debts'!$F$7&lt;'Your debts'!$F$15),M86,0)+IF(AND('Your debts'!$F$8&lt;&gt;"",'Your debts'!$F$15&lt;&gt;"",'Your debts'!$F$8&lt;'Your debts'!$F$15),R86,0)+IF(AND('Your debts'!$F$9&lt;&gt;"",'Your debts'!$F$15&lt;&gt;"",'Your debts'!$F$9&lt;'Your debts'!$F$15),W86,0)+IF(AND('Your debts'!$F$10&lt;&gt;"",'Your debts'!$F$15&lt;&gt;"",'Your debts'!$F$10&lt;'Your debts'!$F$15),AB86,0)+IF(AND('Your debts'!$F$11&lt;&gt;"",'Your debts'!$F$15&lt;&gt;"",'Your debts'!$F$11&lt;'Your debts'!$F$15),AG86,0)+IF(AND('Your debts'!$F$12&lt;&gt;"",'Your debts'!$F$15&lt;&gt;"",'Your debts'!$F$12&lt;'Your debts'!$F$15),AL86,0)+IF(AND('Your debts'!$F$13&lt;&gt;"",'Your debts'!$F$15&lt;&gt;"",'Your debts'!$F$13&lt;'Your debts'!$F$15),AQ86,0)+IF(AND('Your debts'!$F$14&lt;&gt;"",'Your debts'!$F$15&lt;&gt;"",'Your debts'!$F$14&lt;'Your debts'!$F$15),AV86,0)))))</f>
        <v/>
      </c>
      <c r="BC86" s="33">
        <f>BA86-BB86</f>
        <v/>
      </c>
    </row>
    <row r="87">
      <c r="A87" s="30" t="n">
        <v>72</v>
      </c>
      <c r="B87" s="31">
        <f>EDATE($B$15,72)</f>
        <v/>
      </c>
      <c r="C87" s="32">
        <f>IF(J86&lt;=0,0,F87-J86)+IF(O86&lt;=0,0,K87-O86)+IF(T86&lt;=0,0,P87-T86)+IF(Y86&lt;=0,0,U87-Y86)+IF(AD86&lt;=0,0,Z87-AD86)+IF(AI86&lt;=0,0,AE87-AI86)+IF(AN86&lt;=0,0,AJ87-AN86)+IF(AS86&lt;=0,0,AO87-AS86)+IF(AX86&lt;=0,0,AT87-AX86)+IF(BC86&lt;=0,0,AY87-BC86)</f>
        <v/>
      </c>
      <c r="D87" s="32">
        <f>G87+I87+L87+N87+Q87+S87+V87+X87+AA87+AC87+AF87+AH87+AK87+AM87+AP87+AR87+AU87+AW87+AZ87+BB87</f>
        <v/>
      </c>
      <c r="E87" s="32">
        <f>J87+O87+T87+Y87+AD87+AI87+AN87+AS87+AX87+BC87</f>
        <v/>
      </c>
      <c r="F87" s="33">
        <f>IF(J86&lt;=0,0,ROUND(J86*(1+'Your debts'!$D$6/1200),2))</f>
        <v/>
      </c>
      <c r="G87" s="33">
        <f>IF(F87&lt;=0,0,MIN('Your debts'!$E$6,F87))</f>
        <v/>
      </c>
      <c r="H87" s="33">
        <f>F87-G87</f>
        <v/>
      </c>
      <c r="I87" s="33">
        <f>IF('Your debts'!$F$6="",0,MIN(H87,MAX(0,MAX(0,'Your debts'!$C$19-(G87+L87+Q87+V87+AA87+AF87+AK87+AP87+AU87+AZ87))-(IF(AND('Your debts'!$F$7&lt;&gt;"",'Your debts'!$F$6&lt;&gt;"",'Your debts'!$F$7&lt;'Your debts'!$F$6),M87,0)+IF(AND('Your debts'!$F$8&lt;&gt;"",'Your debts'!$F$6&lt;&gt;"",'Your debts'!$F$8&lt;'Your debts'!$F$6),R87,0)+IF(AND('Your debts'!$F$9&lt;&gt;"",'Your debts'!$F$6&lt;&gt;"",'Your debts'!$F$9&lt;'Your debts'!$F$6),W87,0)+IF(AND('Your debts'!$F$10&lt;&gt;"",'Your debts'!$F$6&lt;&gt;"",'Your debts'!$F$10&lt;'Your debts'!$F$6),AB87,0)+IF(AND('Your debts'!$F$11&lt;&gt;"",'Your debts'!$F$6&lt;&gt;"",'Your debts'!$F$11&lt;'Your debts'!$F$6),AG87,0)+IF(AND('Your debts'!$F$12&lt;&gt;"",'Your debts'!$F$6&lt;&gt;"",'Your debts'!$F$12&lt;'Your debts'!$F$6),AL87,0)+IF(AND('Your debts'!$F$13&lt;&gt;"",'Your debts'!$F$6&lt;&gt;"",'Your debts'!$F$13&lt;'Your debts'!$F$6),AQ87,0)+IF(AND('Your debts'!$F$14&lt;&gt;"",'Your debts'!$F$6&lt;&gt;"",'Your debts'!$F$14&lt;'Your debts'!$F$6),AV87,0)+IF(AND('Your debts'!$F$15&lt;&gt;"",'Your debts'!$F$6&lt;&gt;"",'Your debts'!$F$15&lt;'Your debts'!$F$6),BA87,0)))))</f>
        <v/>
      </c>
      <c r="J87" s="33">
        <f>H87-I87</f>
        <v/>
      </c>
      <c r="K87" s="33">
        <f>IF(O86&lt;=0,0,ROUND(O86*(1+'Your debts'!$D$7/1200),2))</f>
        <v/>
      </c>
      <c r="L87" s="33">
        <f>IF(K87&lt;=0,0,MIN('Your debts'!$E$7,K87))</f>
        <v/>
      </c>
      <c r="M87" s="33">
        <f>K87-L87</f>
        <v/>
      </c>
      <c r="N87" s="33">
        <f>IF('Your debts'!$F$7="",0,MIN(M87,MAX(0,MAX(0,'Your debts'!$C$19-(G87+L87+Q87+V87+AA87+AF87+AK87+AP87+AU87+AZ87))-(IF(AND('Your debts'!$F$6&lt;&gt;"",'Your debts'!$F$7&lt;&gt;"",'Your debts'!$F$6&lt;'Your debts'!$F$7),H87,0)+IF(AND('Your debts'!$F$8&lt;&gt;"",'Your debts'!$F$7&lt;&gt;"",'Your debts'!$F$8&lt;'Your debts'!$F$7),R87,0)+IF(AND('Your debts'!$F$9&lt;&gt;"",'Your debts'!$F$7&lt;&gt;"",'Your debts'!$F$9&lt;'Your debts'!$F$7),W87,0)+IF(AND('Your debts'!$F$10&lt;&gt;"",'Your debts'!$F$7&lt;&gt;"",'Your debts'!$F$10&lt;'Your debts'!$F$7),AB87,0)+IF(AND('Your debts'!$F$11&lt;&gt;"",'Your debts'!$F$7&lt;&gt;"",'Your debts'!$F$11&lt;'Your debts'!$F$7),AG87,0)+IF(AND('Your debts'!$F$12&lt;&gt;"",'Your debts'!$F$7&lt;&gt;"",'Your debts'!$F$12&lt;'Your debts'!$F$7),AL87,0)+IF(AND('Your debts'!$F$13&lt;&gt;"",'Your debts'!$F$7&lt;&gt;"",'Your debts'!$F$13&lt;'Your debts'!$F$7),AQ87,0)+IF(AND('Your debts'!$F$14&lt;&gt;"",'Your debts'!$F$7&lt;&gt;"",'Your debts'!$F$14&lt;'Your debts'!$F$7),AV87,0)+IF(AND('Your debts'!$F$15&lt;&gt;"",'Your debts'!$F$7&lt;&gt;"",'Your debts'!$F$15&lt;'Your debts'!$F$7),BA87,0)))))</f>
        <v/>
      </c>
      <c r="O87" s="33">
        <f>M87-N87</f>
        <v/>
      </c>
      <c r="P87" s="33">
        <f>IF(T86&lt;=0,0,ROUND(T86*(1+'Your debts'!$D$8/1200),2))</f>
        <v/>
      </c>
      <c r="Q87" s="33">
        <f>IF(P87&lt;=0,0,MIN('Your debts'!$E$8,P87))</f>
        <v/>
      </c>
      <c r="R87" s="33">
        <f>P87-Q87</f>
        <v/>
      </c>
      <c r="S87" s="33">
        <f>IF('Your debts'!$F$8="",0,MIN(R87,MAX(0,MAX(0,'Your debts'!$C$19-(G87+L87+Q87+V87+AA87+AF87+AK87+AP87+AU87+AZ87))-(IF(AND('Your debts'!$F$6&lt;&gt;"",'Your debts'!$F$8&lt;&gt;"",'Your debts'!$F$6&lt;'Your debts'!$F$8),H87,0)+IF(AND('Your debts'!$F$7&lt;&gt;"",'Your debts'!$F$8&lt;&gt;"",'Your debts'!$F$7&lt;'Your debts'!$F$8),M87,0)+IF(AND('Your debts'!$F$9&lt;&gt;"",'Your debts'!$F$8&lt;&gt;"",'Your debts'!$F$9&lt;'Your debts'!$F$8),W87,0)+IF(AND('Your debts'!$F$10&lt;&gt;"",'Your debts'!$F$8&lt;&gt;"",'Your debts'!$F$10&lt;'Your debts'!$F$8),AB87,0)+IF(AND('Your debts'!$F$11&lt;&gt;"",'Your debts'!$F$8&lt;&gt;"",'Your debts'!$F$11&lt;'Your debts'!$F$8),AG87,0)+IF(AND('Your debts'!$F$12&lt;&gt;"",'Your debts'!$F$8&lt;&gt;"",'Your debts'!$F$12&lt;'Your debts'!$F$8),AL87,0)+IF(AND('Your debts'!$F$13&lt;&gt;"",'Your debts'!$F$8&lt;&gt;"",'Your debts'!$F$13&lt;'Your debts'!$F$8),AQ87,0)+IF(AND('Your debts'!$F$14&lt;&gt;"",'Your debts'!$F$8&lt;&gt;"",'Your debts'!$F$14&lt;'Your debts'!$F$8),AV87,0)+IF(AND('Your debts'!$F$15&lt;&gt;"",'Your debts'!$F$8&lt;&gt;"",'Your debts'!$F$15&lt;'Your debts'!$F$8),BA87,0)))))</f>
        <v/>
      </c>
      <c r="T87" s="33">
        <f>R87-S87</f>
        <v/>
      </c>
      <c r="U87" s="33">
        <f>IF(Y86&lt;=0,0,ROUND(Y86*(1+'Your debts'!$D$9/1200),2))</f>
        <v/>
      </c>
      <c r="V87" s="33">
        <f>IF(U87&lt;=0,0,MIN('Your debts'!$E$9,U87))</f>
        <v/>
      </c>
      <c r="W87" s="33">
        <f>U87-V87</f>
        <v/>
      </c>
      <c r="X87" s="33">
        <f>IF('Your debts'!$F$9="",0,MIN(W87,MAX(0,MAX(0,'Your debts'!$C$19-(G87+L87+Q87+V87+AA87+AF87+AK87+AP87+AU87+AZ87))-(IF(AND('Your debts'!$F$6&lt;&gt;"",'Your debts'!$F$9&lt;&gt;"",'Your debts'!$F$6&lt;'Your debts'!$F$9),H87,0)+IF(AND('Your debts'!$F$7&lt;&gt;"",'Your debts'!$F$9&lt;&gt;"",'Your debts'!$F$7&lt;'Your debts'!$F$9),M87,0)+IF(AND('Your debts'!$F$8&lt;&gt;"",'Your debts'!$F$9&lt;&gt;"",'Your debts'!$F$8&lt;'Your debts'!$F$9),R87,0)+IF(AND('Your debts'!$F$10&lt;&gt;"",'Your debts'!$F$9&lt;&gt;"",'Your debts'!$F$10&lt;'Your debts'!$F$9),AB87,0)+IF(AND('Your debts'!$F$11&lt;&gt;"",'Your debts'!$F$9&lt;&gt;"",'Your debts'!$F$11&lt;'Your debts'!$F$9),AG87,0)+IF(AND('Your debts'!$F$12&lt;&gt;"",'Your debts'!$F$9&lt;&gt;"",'Your debts'!$F$12&lt;'Your debts'!$F$9),AL87,0)+IF(AND('Your debts'!$F$13&lt;&gt;"",'Your debts'!$F$9&lt;&gt;"",'Your debts'!$F$13&lt;'Your debts'!$F$9),AQ87,0)+IF(AND('Your debts'!$F$14&lt;&gt;"",'Your debts'!$F$9&lt;&gt;"",'Your debts'!$F$14&lt;'Your debts'!$F$9),AV87,0)+IF(AND('Your debts'!$F$15&lt;&gt;"",'Your debts'!$F$9&lt;&gt;"",'Your debts'!$F$15&lt;'Your debts'!$F$9),BA87,0)))))</f>
        <v/>
      </c>
      <c r="Y87" s="33">
        <f>W87-X87</f>
        <v/>
      </c>
      <c r="Z87" s="33">
        <f>IF(AD86&lt;=0,0,ROUND(AD86*(1+'Your debts'!$D$10/1200),2))</f>
        <v/>
      </c>
      <c r="AA87" s="33">
        <f>IF(Z87&lt;=0,0,MIN('Your debts'!$E$10,Z87))</f>
        <v/>
      </c>
      <c r="AB87" s="33">
        <f>Z87-AA87</f>
        <v/>
      </c>
      <c r="AC87" s="33">
        <f>IF('Your debts'!$F$10="",0,MIN(AB87,MAX(0,MAX(0,'Your debts'!$C$19-(G87+L87+Q87+V87+AA87+AF87+AK87+AP87+AU87+AZ87))-(IF(AND('Your debts'!$F$6&lt;&gt;"",'Your debts'!$F$10&lt;&gt;"",'Your debts'!$F$6&lt;'Your debts'!$F$10),H87,0)+IF(AND('Your debts'!$F$7&lt;&gt;"",'Your debts'!$F$10&lt;&gt;"",'Your debts'!$F$7&lt;'Your debts'!$F$10),M87,0)+IF(AND('Your debts'!$F$8&lt;&gt;"",'Your debts'!$F$10&lt;&gt;"",'Your debts'!$F$8&lt;'Your debts'!$F$10),R87,0)+IF(AND('Your debts'!$F$9&lt;&gt;"",'Your debts'!$F$10&lt;&gt;"",'Your debts'!$F$9&lt;'Your debts'!$F$10),W87,0)+IF(AND('Your debts'!$F$11&lt;&gt;"",'Your debts'!$F$10&lt;&gt;"",'Your debts'!$F$11&lt;'Your debts'!$F$10),AG87,0)+IF(AND('Your debts'!$F$12&lt;&gt;"",'Your debts'!$F$10&lt;&gt;"",'Your debts'!$F$12&lt;'Your debts'!$F$10),AL87,0)+IF(AND('Your debts'!$F$13&lt;&gt;"",'Your debts'!$F$10&lt;&gt;"",'Your debts'!$F$13&lt;'Your debts'!$F$10),AQ87,0)+IF(AND('Your debts'!$F$14&lt;&gt;"",'Your debts'!$F$10&lt;&gt;"",'Your debts'!$F$14&lt;'Your debts'!$F$10),AV87,0)+IF(AND('Your debts'!$F$15&lt;&gt;"",'Your debts'!$F$10&lt;&gt;"",'Your debts'!$F$15&lt;'Your debts'!$F$10),BA87,0)))))</f>
        <v/>
      </c>
      <c r="AD87" s="33">
        <f>AB87-AC87</f>
        <v/>
      </c>
      <c r="AE87" s="33">
        <f>IF(AI86&lt;=0,0,ROUND(AI86*(1+'Your debts'!$D$11/1200),2))</f>
        <v/>
      </c>
      <c r="AF87" s="33">
        <f>IF(AE87&lt;=0,0,MIN('Your debts'!$E$11,AE87))</f>
        <v/>
      </c>
      <c r="AG87" s="33">
        <f>AE87-AF87</f>
        <v/>
      </c>
      <c r="AH87" s="33">
        <f>IF('Your debts'!$F$11="",0,MIN(AG87,MAX(0,MAX(0,'Your debts'!$C$19-(G87+L87+Q87+V87+AA87+AF87+AK87+AP87+AU87+AZ87))-(IF(AND('Your debts'!$F$6&lt;&gt;"",'Your debts'!$F$11&lt;&gt;"",'Your debts'!$F$6&lt;'Your debts'!$F$11),H87,0)+IF(AND('Your debts'!$F$7&lt;&gt;"",'Your debts'!$F$11&lt;&gt;"",'Your debts'!$F$7&lt;'Your debts'!$F$11),M87,0)+IF(AND('Your debts'!$F$8&lt;&gt;"",'Your debts'!$F$11&lt;&gt;"",'Your debts'!$F$8&lt;'Your debts'!$F$11),R87,0)+IF(AND('Your debts'!$F$9&lt;&gt;"",'Your debts'!$F$11&lt;&gt;"",'Your debts'!$F$9&lt;'Your debts'!$F$11),W87,0)+IF(AND('Your debts'!$F$10&lt;&gt;"",'Your debts'!$F$11&lt;&gt;"",'Your debts'!$F$10&lt;'Your debts'!$F$11),AB87,0)+IF(AND('Your debts'!$F$12&lt;&gt;"",'Your debts'!$F$11&lt;&gt;"",'Your debts'!$F$12&lt;'Your debts'!$F$11),AL87,0)+IF(AND('Your debts'!$F$13&lt;&gt;"",'Your debts'!$F$11&lt;&gt;"",'Your debts'!$F$13&lt;'Your debts'!$F$11),AQ87,0)+IF(AND('Your debts'!$F$14&lt;&gt;"",'Your debts'!$F$11&lt;&gt;"",'Your debts'!$F$14&lt;'Your debts'!$F$11),AV87,0)+IF(AND('Your debts'!$F$15&lt;&gt;"",'Your debts'!$F$11&lt;&gt;"",'Your debts'!$F$15&lt;'Your debts'!$F$11),BA87,0)))))</f>
        <v/>
      </c>
      <c r="AI87" s="33">
        <f>AG87-AH87</f>
        <v/>
      </c>
      <c r="AJ87" s="33">
        <f>IF(AN86&lt;=0,0,ROUND(AN86*(1+'Your debts'!$D$12/1200),2))</f>
        <v/>
      </c>
      <c r="AK87" s="33">
        <f>IF(AJ87&lt;=0,0,MIN('Your debts'!$E$12,AJ87))</f>
        <v/>
      </c>
      <c r="AL87" s="33">
        <f>AJ87-AK87</f>
        <v/>
      </c>
      <c r="AM87" s="33">
        <f>IF('Your debts'!$F$12="",0,MIN(AL87,MAX(0,MAX(0,'Your debts'!$C$19-(G87+L87+Q87+V87+AA87+AF87+AK87+AP87+AU87+AZ87))-(IF(AND('Your debts'!$F$6&lt;&gt;"",'Your debts'!$F$12&lt;&gt;"",'Your debts'!$F$6&lt;'Your debts'!$F$12),H87,0)+IF(AND('Your debts'!$F$7&lt;&gt;"",'Your debts'!$F$12&lt;&gt;"",'Your debts'!$F$7&lt;'Your debts'!$F$12),M87,0)+IF(AND('Your debts'!$F$8&lt;&gt;"",'Your debts'!$F$12&lt;&gt;"",'Your debts'!$F$8&lt;'Your debts'!$F$12),R87,0)+IF(AND('Your debts'!$F$9&lt;&gt;"",'Your debts'!$F$12&lt;&gt;"",'Your debts'!$F$9&lt;'Your debts'!$F$12),W87,0)+IF(AND('Your debts'!$F$10&lt;&gt;"",'Your debts'!$F$12&lt;&gt;"",'Your debts'!$F$10&lt;'Your debts'!$F$12),AB87,0)+IF(AND('Your debts'!$F$11&lt;&gt;"",'Your debts'!$F$12&lt;&gt;"",'Your debts'!$F$11&lt;'Your debts'!$F$12),AG87,0)+IF(AND('Your debts'!$F$13&lt;&gt;"",'Your debts'!$F$12&lt;&gt;"",'Your debts'!$F$13&lt;'Your debts'!$F$12),AQ87,0)+IF(AND('Your debts'!$F$14&lt;&gt;"",'Your debts'!$F$12&lt;&gt;"",'Your debts'!$F$14&lt;'Your debts'!$F$12),AV87,0)+IF(AND('Your debts'!$F$15&lt;&gt;"",'Your debts'!$F$12&lt;&gt;"",'Your debts'!$F$15&lt;'Your debts'!$F$12),BA87,0)))))</f>
        <v/>
      </c>
      <c r="AN87" s="33">
        <f>AL87-AM87</f>
        <v/>
      </c>
      <c r="AO87" s="33">
        <f>IF(AS86&lt;=0,0,ROUND(AS86*(1+'Your debts'!$D$13/1200),2))</f>
        <v/>
      </c>
      <c r="AP87" s="33">
        <f>IF(AO87&lt;=0,0,MIN('Your debts'!$E$13,AO87))</f>
        <v/>
      </c>
      <c r="AQ87" s="33">
        <f>AO87-AP87</f>
        <v/>
      </c>
      <c r="AR87" s="33">
        <f>IF('Your debts'!$F$13="",0,MIN(AQ87,MAX(0,MAX(0,'Your debts'!$C$19-(G87+L87+Q87+V87+AA87+AF87+AK87+AP87+AU87+AZ87))-(IF(AND('Your debts'!$F$6&lt;&gt;"",'Your debts'!$F$13&lt;&gt;"",'Your debts'!$F$6&lt;'Your debts'!$F$13),H87,0)+IF(AND('Your debts'!$F$7&lt;&gt;"",'Your debts'!$F$13&lt;&gt;"",'Your debts'!$F$7&lt;'Your debts'!$F$13),M87,0)+IF(AND('Your debts'!$F$8&lt;&gt;"",'Your debts'!$F$13&lt;&gt;"",'Your debts'!$F$8&lt;'Your debts'!$F$13),R87,0)+IF(AND('Your debts'!$F$9&lt;&gt;"",'Your debts'!$F$13&lt;&gt;"",'Your debts'!$F$9&lt;'Your debts'!$F$13),W87,0)+IF(AND('Your debts'!$F$10&lt;&gt;"",'Your debts'!$F$13&lt;&gt;"",'Your debts'!$F$10&lt;'Your debts'!$F$13),AB87,0)+IF(AND('Your debts'!$F$11&lt;&gt;"",'Your debts'!$F$13&lt;&gt;"",'Your debts'!$F$11&lt;'Your debts'!$F$13),AG87,0)+IF(AND('Your debts'!$F$12&lt;&gt;"",'Your debts'!$F$13&lt;&gt;"",'Your debts'!$F$12&lt;'Your debts'!$F$13),AL87,0)+IF(AND('Your debts'!$F$14&lt;&gt;"",'Your debts'!$F$13&lt;&gt;"",'Your debts'!$F$14&lt;'Your debts'!$F$13),AV87,0)+IF(AND('Your debts'!$F$15&lt;&gt;"",'Your debts'!$F$13&lt;&gt;"",'Your debts'!$F$15&lt;'Your debts'!$F$13),BA87,0)))))</f>
        <v/>
      </c>
      <c r="AS87" s="33">
        <f>AQ87-AR87</f>
        <v/>
      </c>
      <c r="AT87" s="33">
        <f>IF(AX86&lt;=0,0,ROUND(AX86*(1+'Your debts'!$D$14/1200),2))</f>
        <v/>
      </c>
      <c r="AU87" s="33">
        <f>IF(AT87&lt;=0,0,MIN('Your debts'!$E$14,AT87))</f>
        <v/>
      </c>
      <c r="AV87" s="33">
        <f>AT87-AU87</f>
        <v/>
      </c>
      <c r="AW87" s="33">
        <f>IF('Your debts'!$F$14="",0,MIN(AV87,MAX(0,MAX(0,'Your debts'!$C$19-(G87+L87+Q87+V87+AA87+AF87+AK87+AP87+AU87+AZ87))-(IF(AND('Your debts'!$F$6&lt;&gt;"",'Your debts'!$F$14&lt;&gt;"",'Your debts'!$F$6&lt;'Your debts'!$F$14),H87,0)+IF(AND('Your debts'!$F$7&lt;&gt;"",'Your debts'!$F$14&lt;&gt;"",'Your debts'!$F$7&lt;'Your debts'!$F$14),M87,0)+IF(AND('Your debts'!$F$8&lt;&gt;"",'Your debts'!$F$14&lt;&gt;"",'Your debts'!$F$8&lt;'Your debts'!$F$14),R87,0)+IF(AND('Your debts'!$F$9&lt;&gt;"",'Your debts'!$F$14&lt;&gt;"",'Your debts'!$F$9&lt;'Your debts'!$F$14),W87,0)+IF(AND('Your debts'!$F$10&lt;&gt;"",'Your debts'!$F$14&lt;&gt;"",'Your debts'!$F$10&lt;'Your debts'!$F$14),AB87,0)+IF(AND('Your debts'!$F$11&lt;&gt;"",'Your debts'!$F$14&lt;&gt;"",'Your debts'!$F$11&lt;'Your debts'!$F$14),AG87,0)+IF(AND('Your debts'!$F$12&lt;&gt;"",'Your debts'!$F$14&lt;&gt;"",'Your debts'!$F$12&lt;'Your debts'!$F$14),AL87,0)+IF(AND('Your debts'!$F$13&lt;&gt;"",'Your debts'!$F$14&lt;&gt;"",'Your debts'!$F$13&lt;'Your debts'!$F$14),AQ87,0)+IF(AND('Your debts'!$F$15&lt;&gt;"",'Your debts'!$F$14&lt;&gt;"",'Your debts'!$F$15&lt;'Your debts'!$F$14),BA87,0)))))</f>
        <v/>
      </c>
      <c r="AX87" s="33">
        <f>AV87-AW87</f>
        <v/>
      </c>
      <c r="AY87" s="33">
        <f>IF(BC86&lt;=0,0,ROUND(BC86*(1+'Your debts'!$D$15/1200),2))</f>
        <v/>
      </c>
      <c r="AZ87" s="33">
        <f>IF(AY87&lt;=0,0,MIN('Your debts'!$E$15,AY87))</f>
        <v/>
      </c>
      <c r="BA87" s="33">
        <f>AY87-AZ87</f>
        <v/>
      </c>
      <c r="BB87" s="33">
        <f>IF('Your debts'!$F$15="",0,MIN(BA87,MAX(0,MAX(0,'Your debts'!$C$19-(G87+L87+Q87+V87+AA87+AF87+AK87+AP87+AU87+AZ87))-(IF(AND('Your debts'!$F$6&lt;&gt;"",'Your debts'!$F$15&lt;&gt;"",'Your debts'!$F$6&lt;'Your debts'!$F$15),H87,0)+IF(AND('Your debts'!$F$7&lt;&gt;"",'Your debts'!$F$15&lt;&gt;"",'Your debts'!$F$7&lt;'Your debts'!$F$15),M87,0)+IF(AND('Your debts'!$F$8&lt;&gt;"",'Your debts'!$F$15&lt;&gt;"",'Your debts'!$F$8&lt;'Your debts'!$F$15),R87,0)+IF(AND('Your debts'!$F$9&lt;&gt;"",'Your debts'!$F$15&lt;&gt;"",'Your debts'!$F$9&lt;'Your debts'!$F$15),W87,0)+IF(AND('Your debts'!$F$10&lt;&gt;"",'Your debts'!$F$15&lt;&gt;"",'Your debts'!$F$10&lt;'Your debts'!$F$15),AB87,0)+IF(AND('Your debts'!$F$11&lt;&gt;"",'Your debts'!$F$15&lt;&gt;"",'Your debts'!$F$11&lt;'Your debts'!$F$15),AG87,0)+IF(AND('Your debts'!$F$12&lt;&gt;"",'Your debts'!$F$15&lt;&gt;"",'Your debts'!$F$12&lt;'Your debts'!$F$15),AL87,0)+IF(AND('Your debts'!$F$13&lt;&gt;"",'Your debts'!$F$15&lt;&gt;"",'Your debts'!$F$13&lt;'Your debts'!$F$15),AQ87,0)+IF(AND('Your debts'!$F$14&lt;&gt;"",'Your debts'!$F$15&lt;&gt;"",'Your debts'!$F$14&lt;'Your debts'!$F$15),AV87,0)))))</f>
        <v/>
      </c>
      <c r="BC87" s="33">
        <f>BA87-BB87</f>
        <v/>
      </c>
    </row>
    <row r="88">
      <c r="A88" s="30" t="n">
        <v>73</v>
      </c>
      <c r="B88" s="31">
        <f>EDATE($B$15,73)</f>
        <v/>
      </c>
      <c r="C88" s="32">
        <f>IF(J87&lt;=0,0,F88-J87)+IF(O87&lt;=0,0,K88-O87)+IF(T87&lt;=0,0,P88-T87)+IF(Y87&lt;=0,0,U88-Y87)+IF(AD87&lt;=0,0,Z88-AD87)+IF(AI87&lt;=0,0,AE88-AI87)+IF(AN87&lt;=0,0,AJ88-AN87)+IF(AS87&lt;=0,0,AO88-AS87)+IF(AX87&lt;=0,0,AT88-AX87)+IF(BC87&lt;=0,0,AY88-BC87)</f>
        <v/>
      </c>
      <c r="D88" s="32">
        <f>G88+I88+L88+N88+Q88+S88+V88+X88+AA88+AC88+AF88+AH88+AK88+AM88+AP88+AR88+AU88+AW88+AZ88+BB88</f>
        <v/>
      </c>
      <c r="E88" s="32">
        <f>J88+O88+T88+Y88+AD88+AI88+AN88+AS88+AX88+BC88</f>
        <v/>
      </c>
      <c r="F88" s="33">
        <f>IF(J87&lt;=0,0,ROUND(J87*(1+'Your debts'!$D$6/1200),2))</f>
        <v/>
      </c>
      <c r="G88" s="33">
        <f>IF(F88&lt;=0,0,MIN('Your debts'!$E$6,F88))</f>
        <v/>
      </c>
      <c r="H88" s="33">
        <f>F88-G88</f>
        <v/>
      </c>
      <c r="I88" s="33">
        <f>IF('Your debts'!$F$6="",0,MIN(H88,MAX(0,MAX(0,'Your debts'!$C$19-(G88+L88+Q88+V88+AA88+AF88+AK88+AP88+AU88+AZ88))-(IF(AND('Your debts'!$F$7&lt;&gt;"",'Your debts'!$F$6&lt;&gt;"",'Your debts'!$F$7&lt;'Your debts'!$F$6),M88,0)+IF(AND('Your debts'!$F$8&lt;&gt;"",'Your debts'!$F$6&lt;&gt;"",'Your debts'!$F$8&lt;'Your debts'!$F$6),R88,0)+IF(AND('Your debts'!$F$9&lt;&gt;"",'Your debts'!$F$6&lt;&gt;"",'Your debts'!$F$9&lt;'Your debts'!$F$6),W88,0)+IF(AND('Your debts'!$F$10&lt;&gt;"",'Your debts'!$F$6&lt;&gt;"",'Your debts'!$F$10&lt;'Your debts'!$F$6),AB88,0)+IF(AND('Your debts'!$F$11&lt;&gt;"",'Your debts'!$F$6&lt;&gt;"",'Your debts'!$F$11&lt;'Your debts'!$F$6),AG88,0)+IF(AND('Your debts'!$F$12&lt;&gt;"",'Your debts'!$F$6&lt;&gt;"",'Your debts'!$F$12&lt;'Your debts'!$F$6),AL88,0)+IF(AND('Your debts'!$F$13&lt;&gt;"",'Your debts'!$F$6&lt;&gt;"",'Your debts'!$F$13&lt;'Your debts'!$F$6),AQ88,0)+IF(AND('Your debts'!$F$14&lt;&gt;"",'Your debts'!$F$6&lt;&gt;"",'Your debts'!$F$14&lt;'Your debts'!$F$6),AV88,0)+IF(AND('Your debts'!$F$15&lt;&gt;"",'Your debts'!$F$6&lt;&gt;"",'Your debts'!$F$15&lt;'Your debts'!$F$6),BA88,0)))))</f>
        <v/>
      </c>
      <c r="J88" s="33">
        <f>H88-I88</f>
        <v/>
      </c>
      <c r="K88" s="33">
        <f>IF(O87&lt;=0,0,ROUND(O87*(1+'Your debts'!$D$7/1200),2))</f>
        <v/>
      </c>
      <c r="L88" s="33">
        <f>IF(K88&lt;=0,0,MIN('Your debts'!$E$7,K88))</f>
        <v/>
      </c>
      <c r="M88" s="33">
        <f>K88-L88</f>
        <v/>
      </c>
      <c r="N88" s="33">
        <f>IF('Your debts'!$F$7="",0,MIN(M88,MAX(0,MAX(0,'Your debts'!$C$19-(G88+L88+Q88+V88+AA88+AF88+AK88+AP88+AU88+AZ88))-(IF(AND('Your debts'!$F$6&lt;&gt;"",'Your debts'!$F$7&lt;&gt;"",'Your debts'!$F$6&lt;'Your debts'!$F$7),H88,0)+IF(AND('Your debts'!$F$8&lt;&gt;"",'Your debts'!$F$7&lt;&gt;"",'Your debts'!$F$8&lt;'Your debts'!$F$7),R88,0)+IF(AND('Your debts'!$F$9&lt;&gt;"",'Your debts'!$F$7&lt;&gt;"",'Your debts'!$F$9&lt;'Your debts'!$F$7),W88,0)+IF(AND('Your debts'!$F$10&lt;&gt;"",'Your debts'!$F$7&lt;&gt;"",'Your debts'!$F$10&lt;'Your debts'!$F$7),AB88,0)+IF(AND('Your debts'!$F$11&lt;&gt;"",'Your debts'!$F$7&lt;&gt;"",'Your debts'!$F$11&lt;'Your debts'!$F$7),AG88,0)+IF(AND('Your debts'!$F$12&lt;&gt;"",'Your debts'!$F$7&lt;&gt;"",'Your debts'!$F$12&lt;'Your debts'!$F$7),AL88,0)+IF(AND('Your debts'!$F$13&lt;&gt;"",'Your debts'!$F$7&lt;&gt;"",'Your debts'!$F$13&lt;'Your debts'!$F$7),AQ88,0)+IF(AND('Your debts'!$F$14&lt;&gt;"",'Your debts'!$F$7&lt;&gt;"",'Your debts'!$F$14&lt;'Your debts'!$F$7),AV88,0)+IF(AND('Your debts'!$F$15&lt;&gt;"",'Your debts'!$F$7&lt;&gt;"",'Your debts'!$F$15&lt;'Your debts'!$F$7),BA88,0)))))</f>
        <v/>
      </c>
      <c r="O88" s="33">
        <f>M88-N88</f>
        <v/>
      </c>
      <c r="P88" s="33">
        <f>IF(T87&lt;=0,0,ROUND(T87*(1+'Your debts'!$D$8/1200),2))</f>
        <v/>
      </c>
      <c r="Q88" s="33">
        <f>IF(P88&lt;=0,0,MIN('Your debts'!$E$8,P88))</f>
        <v/>
      </c>
      <c r="R88" s="33">
        <f>P88-Q88</f>
        <v/>
      </c>
      <c r="S88" s="33">
        <f>IF('Your debts'!$F$8="",0,MIN(R88,MAX(0,MAX(0,'Your debts'!$C$19-(G88+L88+Q88+V88+AA88+AF88+AK88+AP88+AU88+AZ88))-(IF(AND('Your debts'!$F$6&lt;&gt;"",'Your debts'!$F$8&lt;&gt;"",'Your debts'!$F$6&lt;'Your debts'!$F$8),H88,0)+IF(AND('Your debts'!$F$7&lt;&gt;"",'Your debts'!$F$8&lt;&gt;"",'Your debts'!$F$7&lt;'Your debts'!$F$8),M88,0)+IF(AND('Your debts'!$F$9&lt;&gt;"",'Your debts'!$F$8&lt;&gt;"",'Your debts'!$F$9&lt;'Your debts'!$F$8),W88,0)+IF(AND('Your debts'!$F$10&lt;&gt;"",'Your debts'!$F$8&lt;&gt;"",'Your debts'!$F$10&lt;'Your debts'!$F$8),AB88,0)+IF(AND('Your debts'!$F$11&lt;&gt;"",'Your debts'!$F$8&lt;&gt;"",'Your debts'!$F$11&lt;'Your debts'!$F$8),AG88,0)+IF(AND('Your debts'!$F$12&lt;&gt;"",'Your debts'!$F$8&lt;&gt;"",'Your debts'!$F$12&lt;'Your debts'!$F$8),AL88,0)+IF(AND('Your debts'!$F$13&lt;&gt;"",'Your debts'!$F$8&lt;&gt;"",'Your debts'!$F$13&lt;'Your debts'!$F$8),AQ88,0)+IF(AND('Your debts'!$F$14&lt;&gt;"",'Your debts'!$F$8&lt;&gt;"",'Your debts'!$F$14&lt;'Your debts'!$F$8),AV88,0)+IF(AND('Your debts'!$F$15&lt;&gt;"",'Your debts'!$F$8&lt;&gt;"",'Your debts'!$F$15&lt;'Your debts'!$F$8),BA88,0)))))</f>
        <v/>
      </c>
      <c r="T88" s="33">
        <f>R88-S88</f>
        <v/>
      </c>
      <c r="U88" s="33">
        <f>IF(Y87&lt;=0,0,ROUND(Y87*(1+'Your debts'!$D$9/1200),2))</f>
        <v/>
      </c>
      <c r="V88" s="33">
        <f>IF(U88&lt;=0,0,MIN('Your debts'!$E$9,U88))</f>
        <v/>
      </c>
      <c r="W88" s="33">
        <f>U88-V88</f>
        <v/>
      </c>
      <c r="X88" s="33">
        <f>IF('Your debts'!$F$9="",0,MIN(W88,MAX(0,MAX(0,'Your debts'!$C$19-(G88+L88+Q88+V88+AA88+AF88+AK88+AP88+AU88+AZ88))-(IF(AND('Your debts'!$F$6&lt;&gt;"",'Your debts'!$F$9&lt;&gt;"",'Your debts'!$F$6&lt;'Your debts'!$F$9),H88,0)+IF(AND('Your debts'!$F$7&lt;&gt;"",'Your debts'!$F$9&lt;&gt;"",'Your debts'!$F$7&lt;'Your debts'!$F$9),M88,0)+IF(AND('Your debts'!$F$8&lt;&gt;"",'Your debts'!$F$9&lt;&gt;"",'Your debts'!$F$8&lt;'Your debts'!$F$9),R88,0)+IF(AND('Your debts'!$F$10&lt;&gt;"",'Your debts'!$F$9&lt;&gt;"",'Your debts'!$F$10&lt;'Your debts'!$F$9),AB88,0)+IF(AND('Your debts'!$F$11&lt;&gt;"",'Your debts'!$F$9&lt;&gt;"",'Your debts'!$F$11&lt;'Your debts'!$F$9),AG88,0)+IF(AND('Your debts'!$F$12&lt;&gt;"",'Your debts'!$F$9&lt;&gt;"",'Your debts'!$F$12&lt;'Your debts'!$F$9),AL88,0)+IF(AND('Your debts'!$F$13&lt;&gt;"",'Your debts'!$F$9&lt;&gt;"",'Your debts'!$F$13&lt;'Your debts'!$F$9),AQ88,0)+IF(AND('Your debts'!$F$14&lt;&gt;"",'Your debts'!$F$9&lt;&gt;"",'Your debts'!$F$14&lt;'Your debts'!$F$9),AV88,0)+IF(AND('Your debts'!$F$15&lt;&gt;"",'Your debts'!$F$9&lt;&gt;"",'Your debts'!$F$15&lt;'Your debts'!$F$9),BA88,0)))))</f>
        <v/>
      </c>
      <c r="Y88" s="33">
        <f>W88-X88</f>
        <v/>
      </c>
      <c r="Z88" s="33">
        <f>IF(AD87&lt;=0,0,ROUND(AD87*(1+'Your debts'!$D$10/1200),2))</f>
        <v/>
      </c>
      <c r="AA88" s="33">
        <f>IF(Z88&lt;=0,0,MIN('Your debts'!$E$10,Z88))</f>
        <v/>
      </c>
      <c r="AB88" s="33">
        <f>Z88-AA88</f>
        <v/>
      </c>
      <c r="AC88" s="33">
        <f>IF('Your debts'!$F$10="",0,MIN(AB88,MAX(0,MAX(0,'Your debts'!$C$19-(G88+L88+Q88+V88+AA88+AF88+AK88+AP88+AU88+AZ88))-(IF(AND('Your debts'!$F$6&lt;&gt;"",'Your debts'!$F$10&lt;&gt;"",'Your debts'!$F$6&lt;'Your debts'!$F$10),H88,0)+IF(AND('Your debts'!$F$7&lt;&gt;"",'Your debts'!$F$10&lt;&gt;"",'Your debts'!$F$7&lt;'Your debts'!$F$10),M88,0)+IF(AND('Your debts'!$F$8&lt;&gt;"",'Your debts'!$F$10&lt;&gt;"",'Your debts'!$F$8&lt;'Your debts'!$F$10),R88,0)+IF(AND('Your debts'!$F$9&lt;&gt;"",'Your debts'!$F$10&lt;&gt;"",'Your debts'!$F$9&lt;'Your debts'!$F$10),W88,0)+IF(AND('Your debts'!$F$11&lt;&gt;"",'Your debts'!$F$10&lt;&gt;"",'Your debts'!$F$11&lt;'Your debts'!$F$10),AG88,0)+IF(AND('Your debts'!$F$12&lt;&gt;"",'Your debts'!$F$10&lt;&gt;"",'Your debts'!$F$12&lt;'Your debts'!$F$10),AL88,0)+IF(AND('Your debts'!$F$13&lt;&gt;"",'Your debts'!$F$10&lt;&gt;"",'Your debts'!$F$13&lt;'Your debts'!$F$10),AQ88,0)+IF(AND('Your debts'!$F$14&lt;&gt;"",'Your debts'!$F$10&lt;&gt;"",'Your debts'!$F$14&lt;'Your debts'!$F$10),AV88,0)+IF(AND('Your debts'!$F$15&lt;&gt;"",'Your debts'!$F$10&lt;&gt;"",'Your debts'!$F$15&lt;'Your debts'!$F$10),BA88,0)))))</f>
        <v/>
      </c>
      <c r="AD88" s="33">
        <f>AB88-AC88</f>
        <v/>
      </c>
      <c r="AE88" s="33">
        <f>IF(AI87&lt;=0,0,ROUND(AI87*(1+'Your debts'!$D$11/1200),2))</f>
        <v/>
      </c>
      <c r="AF88" s="33">
        <f>IF(AE88&lt;=0,0,MIN('Your debts'!$E$11,AE88))</f>
        <v/>
      </c>
      <c r="AG88" s="33">
        <f>AE88-AF88</f>
        <v/>
      </c>
      <c r="AH88" s="33">
        <f>IF('Your debts'!$F$11="",0,MIN(AG88,MAX(0,MAX(0,'Your debts'!$C$19-(G88+L88+Q88+V88+AA88+AF88+AK88+AP88+AU88+AZ88))-(IF(AND('Your debts'!$F$6&lt;&gt;"",'Your debts'!$F$11&lt;&gt;"",'Your debts'!$F$6&lt;'Your debts'!$F$11),H88,0)+IF(AND('Your debts'!$F$7&lt;&gt;"",'Your debts'!$F$11&lt;&gt;"",'Your debts'!$F$7&lt;'Your debts'!$F$11),M88,0)+IF(AND('Your debts'!$F$8&lt;&gt;"",'Your debts'!$F$11&lt;&gt;"",'Your debts'!$F$8&lt;'Your debts'!$F$11),R88,0)+IF(AND('Your debts'!$F$9&lt;&gt;"",'Your debts'!$F$11&lt;&gt;"",'Your debts'!$F$9&lt;'Your debts'!$F$11),W88,0)+IF(AND('Your debts'!$F$10&lt;&gt;"",'Your debts'!$F$11&lt;&gt;"",'Your debts'!$F$10&lt;'Your debts'!$F$11),AB88,0)+IF(AND('Your debts'!$F$12&lt;&gt;"",'Your debts'!$F$11&lt;&gt;"",'Your debts'!$F$12&lt;'Your debts'!$F$11),AL88,0)+IF(AND('Your debts'!$F$13&lt;&gt;"",'Your debts'!$F$11&lt;&gt;"",'Your debts'!$F$13&lt;'Your debts'!$F$11),AQ88,0)+IF(AND('Your debts'!$F$14&lt;&gt;"",'Your debts'!$F$11&lt;&gt;"",'Your debts'!$F$14&lt;'Your debts'!$F$11),AV88,0)+IF(AND('Your debts'!$F$15&lt;&gt;"",'Your debts'!$F$11&lt;&gt;"",'Your debts'!$F$15&lt;'Your debts'!$F$11),BA88,0)))))</f>
        <v/>
      </c>
      <c r="AI88" s="33">
        <f>AG88-AH88</f>
        <v/>
      </c>
      <c r="AJ88" s="33">
        <f>IF(AN87&lt;=0,0,ROUND(AN87*(1+'Your debts'!$D$12/1200),2))</f>
        <v/>
      </c>
      <c r="AK88" s="33">
        <f>IF(AJ88&lt;=0,0,MIN('Your debts'!$E$12,AJ88))</f>
        <v/>
      </c>
      <c r="AL88" s="33">
        <f>AJ88-AK88</f>
        <v/>
      </c>
      <c r="AM88" s="33">
        <f>IF('Your debts'!$F$12="",0,MIN(AL88,MAX(0,MAX(0,'Your debts'!$C$19-(G88+L88+Q88+V88+AA88+AF88+AK88+AP88+AU88+AZ88))-(IF(AND('Your debts'!$F$6&lt;&gt;"",'Your debts'!$F$12&lt;&gt;"",'Your debts'!$F$6&lt;'Your debts'!$F$12),H88,0)+IF(AND('Your debts'!$F$7&lt;&gt;"",'Your debts'!$F$12&lt;&gt;"",'Your debts'!$F$7&lt;'Your debts'!$F$12),M88,0)+IF(AND('Your debts'!$F$8&lt;&gt;"",'Your debts'!$F$12&lt;&gt;"",'Your debts'!$F$8&lt;'Your debts'!$F$12),R88,0)+IF(AND('Your debts'!$F$9&lt;&gt;"",'Your debts'!$F$12&lt;&gt;"",'Your debts'!$F$9&lt;'Your debts'!$F$12),W88,0)+IF(AND('Your debts'!$F$10&lt;&gt;"",'Your debts'!$F$12&lt;&gt;"",'Your debts'!$F$10&lt;'Your debts'!$F$12),AB88,0)+IF(AND('Your debts'!$F$11&lt;&gt;"",'Your debts'!$F$12&lt;&gt;"",'Your debts'!$F$11&lt;'Your debts'!$F$12),AG88,0)+IF(AND('Your debts'!$F$13&lt;&gt;"",'Your debts'!$F$12&lt;&gt;"",'Your debts'!$F$13&lt;'Your debts'!$F$12),AQ88,0)+IF(AND('Your debts'!$F$14&lt;&gt;"",'Your debts'!$F$12&lt;&gt;"",'Your debts'!$F$14&lt;'Your debts'!$F$12),AV88,0)+IF(AND('Your debts'!$F$15&lt;&gt;"",'Your debts'!$F$12&lt;&gt;"",'Your debts'!$F$15&lt;'Your debts'!$F$12),BA88,0)))))</f>
        <v/>
      </c>
      <c r="AN88" s="33">
        <f>AL88-AM88</f>
        <v/>
      </c>
      <c r="AO88" s="33">
        <f>IF(AS87&lt;=0,0,ROUND(AS87*(1+'Your debts'!$D$13/1200),2))</f>
        <v/>
      </c>
      <c r="AP88" s="33">
        <f>IF(AO88&lt;=0,0,MIN('Your debts'!$E$13,AO88))</f>
        <v/>
      </c>
      <c r="AQ88" s="33">
        <f>AO88-AP88</f>
        <v/>
      </c>
      <c r="AR88" s="33">
        <f>IF('Your debts'!$F$13="",0,MIN(AQ88,MAX(0,MAX(0,'Your debts'!$C$19-(G88+L88+Q88+V88+AA88+AF88+AK88+AP88+AU88+AZ88))-(IF(AND('Your debts'!$F$6&lt;&gt;"",'Your debts'!$F$13&lt;&gt;"",'Your debts'!$F$6&lt;'Your debts'!$F$13),H88,0)+IF(AND('Your debts'!$F$7&lt;&gt;"",'Your debts'!$F$13&lt;&gt;"",'Your debts'!$F$7&lt;'Your debts'!$F$13),M88,0)+IF(AND('Your debts'!$F$8&lt;&gt;"",'Your debts'!$F$13&lt;&gt;"",'Your debts'!$F$8&lt;'Your debts'!$F$13),R88,0)+IF(AND('Your debts'!$F$9&lt;&gt;"",'Your debts'!$F$13&lt;&gt;"",'Your debts'!$F$9&lt;'Your debts'!$F$13),W88,0)+IF(AND('Your debts'!$F$10&lt;&gt;"",'Your debts'!$F$13&lt;&gt;"",'Your debts'!$F$10&lt;'Your debts'!$F$13),AB88,0)+IF(AND('Your debts'!$F$11&lt;&gt;"",'Your debts'!$F$13&lt;&gt;"",'Your debts'!$F$11&lt;'Your debts'!$F$13),AG88,0)+IF(AND('Your debts'!$F$12&lt;&gt;"",'Your debts'!$F$13&lt;&gt;"",'Your debts'!$F$12&lt;'Your debts'!$F$13),AL88,0)+IF(AND('Your debts'!$F$14&lt;&gt;"",'Your debts'!$F$13&lt;&gt;"",'Your debts'!$F$14&lt;'Your debts'!$F$13),AV88,0)+IF(AND('Your debts'!$F$15&lt;&gt;"",'Your debts'!$F$13&lt;&gt;"",'Your debts'!$F$15&lt;'Your debts'!$F$13),BA88,0)))))</f>
        <v/>
      </c>
      <c r="AS88" s="33">
        <f>AQ88-AR88</f>
        <v/>
      </c>
      <c r="AT88" s="33">
        <f>IF(AX87&lt;=0,0,ROUND(AX87*(1+'Your debts'!$D$14/1200),2))</f>
        <v/>
      </c>
      <c r="AU88" s="33">
        <f>IF(AT88&lt;=0,0,MIN('Your debts'!$E$14,AT88))</f>
        <v/>
      </c>
      <c r="AV88" s="33">
        <f>AT88-AU88</f>
        <v/>
      </c>
      <c r="AW88" s="33">
        <f>IF('Your debts'!$F$14="",0,MIN(AV88,MAX(0,MAX(0,'Your debts'!$C$19-(G88+L88+Q88+V88+AA88+AF88+AK88+AP88+AU88+AZ88))-(IF(AND('Your debts'!$F$6&lt;&gt;"",'Your debts'!$F$14&lt;&gt;"",'Your debts'!$F$6&lt;'Your debts'!$F$14),H88,0)+IF(AND('Your debts'!$F$7&lt;&gt;"",'Your debts'!$F$14&lt;&gt;"",'Your debts'!$F$7&lt;'Your debts'!$F$14),M88,0)+IF(AND('Your debts'!$F$8&lt;&gt;"",'Your debts'!$F$14&lt;&gt;"",'Your debts'!$F$8&lt;'Your debts'!$F$14),R88,0)+IF(AND('Your debts'!$F$9&lt;&gt;"",'Your debts'!$F$14&lt;&gt;"",'Your debts'!$F$9&lt;'Your debts'!$F$14),W88,0)+IF(AND('Your debts'!$F$10&lt;&gt;"",'Your debts'!$F$14&lt;&gt;"",'Your debts'!$F$10&lt;'Your debts'!$F$14),AB88,0)+IF(AND('Your debts'!$F$11&lt;&gt;"",'Your debts'!$F$14&lt;&gt;"",'Your debts'!$F$11&lt;'Your debts'!$F$14),AG88,0)+IF(AND('Your debts'!$F$12&lt;&gt;"",'Your debts'!$F$14&lt;&gt;"",'Your debts'!$F$12&lt;'Your debts'!$F$14),AL88,0)+IF(AND('Your debts'!$F$13&lt;&gt;"",'Your debts'!$F$14&lt;&gt;"",'Your debts'!$F$13&lt;'Your debts'!$F$14),AQ88,0)+IF(AND('Your debts'!$F$15&lt;&gt;"",'Your debts'!$F$14&lt;&gt;"",'Your debts'!$F$15&lt;'Your debts'!$F$14),BA88,0)))))</f>
        <v/>
      </c>
      <c r="AX88" s="33">
        <f>AV88-AW88</f>
        <v/>
      </c>
      <c r="AY88" s="33">
        <f>IF(BC87&lt;=0,0,ROUND(BC87*(1+'Your debts'!$D$15/1200),2))</f>
        <v/>
      </c>
      <c r="AZ88" s="33">
        <f>IF(AY88&lt;=0,0,MIN('Your debts'!$E$15,AY88))</f>
        <v/>
      </c>
      <c r="BA88" s="33">
        <f>AY88-AZ88</f>
        <v/>
      </c>
      <c r="BB88" s="33">
        <f>IF('Your debts'!$F$15="",0,MIN(BA88,MAX(0,MAX(0,'Your debts'!$C$19-(G88+L88+Q88+V88+AA88+AF88+AK88+AP88+AU88+AZ88))-(IF(AND('Your debts'!$F$6&lt;&gt;"",'Your debts'!$F$15&lt;&gt;"",'Your debts'!$F$6&lt;'Your debts'!$F$15),H88,0)+IF(AND('Your debts'!$F$7&lt;&gt;"",'Your debts'!$F$15&lt;&gt;"",'Your debts'!$F$7&lt;'Your debts'!$F$15),M88,0)+IF(AND('Your debts'!$F$8&lt;&gt;"",'Your debts'!$F$15&lt;&gt;"",'Your debts'!$F$8&lt;'Your debts'!$F$15),R88,0)+IF(AND('Your debts'!$F$9&lt;&gt;"",'Your debts'!$F$15&lt;&gt;"",'Your debts'!$F$9&lt;'Your debts'!$F$15),W88,0)+IF(AND('Your debts'!$F$10&lt;&gt;"",'Your debts'!$F$15&lt;&gt;"",'Your debts'!$F$10&lt;'Your debts'!$F$15),AB88,0)+IF(AND('Your debts'!$F$11&lt;&gt;"",'Your debts'!$F$15&lt;&gt;"",'Your debts'!$F$11&lt;'Your debts'!$F$15),AG88,0)+IF(AND('Your debts'!$F$12&lt;&gt;"",'Your debts'!$F$15&lt;&gt;"",'Your debts'!$F$12&lt;'Your debts'!$F$15),AL88,0)+IF(AND('Your debts'!$F$13&lt;&gt;"",'Your debts'!$F$15&lt;&gt;"",'Your debts'!$F$13&lt;'Your debts'!$F$15),AQ88,0)+IF(AND('Your debts'!$F$14&lt;&gt;"",'Your debts'!$F$15&lt;&gt;"",'Your debts'!$F$14&lt;'Your debts'!$F$15),AV88,0)))))</f>
        <v/>
      </c>
      <c r="BC88" s="33">
        <f>BA88-BB88</f>
        <v/>
      </c>
    </row>
    <row r="89">
      <c r="A89" s="30" t="n">
        <v>74</v>
      </c>
      <c r="B89" s="31">
        <f>EDATE($B$15,74)</f>
        <v/>
      </c>
      <c r="C89" s="32">
        <f>IF(J88&lt;=0,0,F89-J88)+IF(O88&lt;=0,0,K89-O88)+IF(T88&lt;=0,0,P89-T88)+IF(Y88&lt;=0,0,U89-Y88)+IF(AD88&lt;=0,0,Z89-AD88)+IF(AI88&lt;=0,0,AE89-AI88)+IF(AN88&lt;=0,0,AJ89-AN88)+IF(AS88&lt;=0,0,AO89-AS88)+IF(AX88&lt;=0,0,AT89-AX88)+IF(BC88&lt;=0,0,AY89-BC88)</f>
        <v/>
      </c>
      <c r="D89" s="32">
        <f>G89+I89+L89+N89+Q89+S89+V89+X89+AA89+AC89+AF89+AH89+AK89+AM89+AP89+AR89+AU89+AW89+AZ89+BB89</f>
        <v/>
      </c>
      <c r="E89" s="32">
        <f>J89+O89+T89+Y89+AD89+AI89+AN89+AS89+AX89+BC89</f>
        <v/>
      </c>
      <c r="F89" s="33">
        <f>IF(J88&lt;=0,0,ROUND(J88*(1+'Your debts'!$D$6/1200),2))</f>
        <v/>
      </c>
      <c r="G89" s="33">
        <f>IF(F89&lt;=0,0,MIN('Your debts'!$E$6,F89))</f>
        <v/>
      </c>
      <c r="H89" s="33">
        <f>F89-G89</f>
        <v/>
      </c>
      <c r="I89" s="33">
        <f>IF('Your debts'!$F$6="",0,MIN(H89,MAX(0,MAX(0,'Your debts'!$C$19-(G89+L89+Q89+V89+AA89+AF89+AK89+AP89+AU89+AZ89))-(IF(AND('Your debts'!$F$7&lt;&gt;"",'Your debts'!$F$6&lt;&gt;"",'Your debts'!$F$7&lt;'Your debts'!$F$6),M89,0)+IF(AND('Your debts'!$F$8&lt;&gt;"",'Your debts'!$F$6&lt;&gt;"",'Your debts'!$F$8&lt;'Your debts'!$F$6),R89,0)+IF(AND('Your debts'!$F$9&lt;&gt;"",'Your debts'!$F$6&lt;&gt;"",'Your debts'!$F$9&lt;'Your debts'!$F$6),W89,0)+IF(AND('Your debts'!$F$10&lt;&gt;"",'Your debts'!$F$6&lt;&gt;"",'Your debts'!$F$10&lt;'Your debts'!$F$6),AB89,0)+IF(AND('Your debts'!$F$11&lt;&gt;"",'Your debts'!$F$6&lt;&gt;"",'Your debts'!$F$11&lt;'Your debts'!$F$6),AG89,0)+IF(AND('Your debts'!$F$12&lt;&gt;"",'Your debts'!$F$6&lt;&gt;"",'Your debts'!$F$12&lt;'Your debts'!$F$6),AL89,0)+IF(AND('Your debts'!$F$13&lt;&gt;"",'Your debts'!$F$6&lt;&gt;"",'Your debts'!$F$13&lt;'Your debts'!$F$6),AQ89,0)+IF(AND('Your debts'!$F$14&lt;&gt;"",'Your debts'!$F$6&lt;&gt;"",'Your debts'!$F$14&lt;'Your debts'!$F$6),AV89,0)+IF(AND('Your debts'!$F$15&lt;&gt;"",'Your debts'!$F$6&lt;&gt;"",'Your debts'!$F$15&lt;'Your debts'!$F$6),BA89,0)))))</f>
        <v/>
      </c>
      <c r="J89" s="33">
        <f>H89-I89</f>
        <v/>
      </c>
      <c r="K89" s="33">
        <f>IF(O88&lt;=0,0,ROUND(O88*(1+'Your debts'!$D$7/1200),2))</f>
        <v/>
      </c>
      <c r="L89" s="33">
        <f>IF(K89&lt;=0,0,MIN('Your debts'!$E$7,K89))</f>
        <v/>
      </c>
      <c r="M89" s="33">
        <f>K89-L89</f>
        <v/>
      </c>
      <c r="N89" s="33">
        <f>IF('Your debts'!$F$7="",0,MIN(M89,MAX(0,MAX(0,'Your debts'!$C$19-(G89+L89+Q89+V89+AA89+AF89+AK89+AP89+AU89+AZ89))-(IF(AND('Your debts'!$F$6&lt;&gt;"",'Your debts'!$F$7&lt;&gt;"",'Your debts'!$F$6&lt;'Your debts'!$F$7),H89,0)+IF(AND('Your debts'!$F$8&lt;&gt;"",'Your debts'!$F$7&lt;&gt;"",'Your debts'!$F$8&lt;'Your debts'!$F$7),R89,0)+IF(AND('Your debts'!$F$9&lt;&gt;"",'Your debts'!$F$7&lt;&gt;"",'Your debts'!$F$9&lt;'Your debts'!$F$7),W89,0)+IF(AND('Your debts'!$F$10&lt;&gt;"",'Your debts'!$F$7&lt;&gt;"",'Your debts'!$F$10&lt;'Your debts'!$F$7),AB89,0)+IF(AND('Your debts'!$F$11&lt;&gt;"",'Your debts'!$F$7&lt;&gt;"",'Your debts'!$F$11&lt;'Your debts'!$F$7),AG89,0)+IF(AND('Your debts'!$F$12&lt;&gt;"",'Your debts'!$F$7&lt;&gt;"",'Your debts'!$F$12&lt;'Your debts'!$F$7),AL89,0)+IF(AND('Your debts'!$F$13&lt;&gt;"",'Your debts'!$F$7&lt;&gt;"",'Your debts'!$F$13&lt;'Your debts'!$F$7),AQ89,0)+IF(AND('Your debts'!$F$14&lt;&gt;"",'Your debts'!$F$7&lt;&gt;"",'Your debts'!$F$14&lt;'Your debts'!$F$7),AV89,0)+IF(AND('Your debts'!$F$15&lt;&gt;"",'Your debts'!$F$7&lt;&gt;"",'Your debts'!$F$15&lt;'Your debts'!$F$7),BA89,0)))))</f>
        <v/>
      </c>
      <c r="O89" s="33">
        <f>M89-N89</f>
        <v/>
      </c>
      <c r="P89" s="33">
        <f>IF(T88&lt;=0,0,ROUND(T88*(1+'Your debts'!$D$8/1200),2))</f>
        <v/>
      </c>
      <c r="Q89" s="33">
        <f>IF(P89&lt;=0,0,MIN('Your debts'!$E$8,P89))</f>
        <v/>
      </c>
      <c r="R89" s="33">
        <f>P89-Q89</f>
        <v/>
      </c>
      <c r="S89" s="33">
        <f>IF('Your debts'!$F$8="",0,MIN(R89,MAX(0,MAX(0,'Your debts'!$C$19-(G89+L89+Q89+V89+AA89+AF89+AK89+AP89+AU89+AZ89))-(IF(AND('Your debts'!$F$6&lt;&gt;"",'Your debts'!$F$8&lt;&gt;"",'Your debts'!$F$6&lt;'Your debts'!$F$8),H89,0)+IF(AND('Your debts'!$F$7&lt;&gt;"",'Your debts'!$F$8&lt;&gt;"",'Your debts'!$F$7&lt;'Your debts'!$F$8),M89,0)+IF(AND('Your debts'!$F$9&lt;&gt;"",'Your debts'!$F$8&lt;&gt;"",'Your debts'!$F$9&lt;'Your debts'!$F$8),W89,0)+IF(AND('Your debts'!$F$10&lt;&gt;"",'Your debts'!$F$8&lt;&gt;"",'Your debts'!$F$10&lt;'Your debts'!$F$8),AB89,0)+IF(AND('Your debts'!$F$11&lt;&gt;"",'Your debts'!$F$8&lt;&gt;"",'Your debts'!$F$11&lt;'Your debts'!$F$8),AG89,0)+IF(AND('Your debts'!$F$12&lt;&gt;"",'Your debts'!$F$8&lt;&gt;"",'Your debts'!$F$12&lt;'Your debts'!$F$8),AL89,0)+IF(AND('Your debts'!$F$13&lt;&gt;"",'Your debts'!$F$8&lt;&gt;"",'Your debts'!$F$13&lt;'Your debts'!$F$8),AQ89,0)+IF(AND('Your debts'!$F$14&lt;&gt;"",'Your debts'!$F$8&lt;&gt;"",'Your debts'!$F$14&lt;'Your debts'!$F$8),AV89,0)+IF(AND('Your debts'!$F$15&lt;&gt;"",'Your debts'!$F$8&lt;&gt;"",'Your debts'!$F$15&lt;'Your debts'!$F$8),BA89,0)))))</f>
        <v/>
      </c>
      <c r="T89" s="33">
        <f>R89-S89</f>
        <v/>
      </c>
      <c r="U89" s="33">
        <f>IF(Y88&lt;=0,0,ROUND(Y88*(1+'Your debts'!$D$9/1200),2))</f>
        <v/>
      </c>
      <c r="V89" s="33">
        <f>IF(U89&lt;=0,0,MIN('Your debts'!$E$9,U89))</f>
        <v/>
      </c>
      <c r="W89" s="33">
        <f>U89-V89</f>
        <v/>
      </c>
      <c r="X89" s="33">
        <f>IF('Your debts'!$F$9="",0,MIN(W89,MAX(0,MAX(0,'Your debts'!$C$19-(G89+L89+Q89+V89+AA89+AF89+AK89+AP89+AU89+AZ89))-(IF(AND('Your debts'!$F$6&lt;&gt;"",'Your debts'!$F$9&lt;&gt;"",'Your debts'!$F$6&lt;'Your debts'!$F$9),H89,0)+IF(AND('Your debts'!$F$7&lt;&gt;"",'Your debts'!$F$9&lt;&gt;"",'Your debts'!$F$7&lt;'Your debts'!$F$9),M89,0)+IF(AND('Your debts'!$F$8&lt;&gt;"",'Your debts'!$F$9&lt;&gt;"",'Your debts'!$F$8&lt;'Your debts'!$F$9),R89,0)+IF(AND('Your debts'!$F$10&lt;&gt;"",'Your debts'!$F$9&lt;&gt;"",'Your debts'!$F$10&lt;'Your debts'!$F$9),AB89,0)+IF(AND('Your debts'!$F$11&lt;&gt;"",'Your debts'!$F$9&lt;&gt;"",'Your debts'!$F$11&lt;'Your debts'!$F$9),AG89,0)+IF(AND('Your debts'!$F$12&lt;&gt;"",'Your debts'!$F$9&lt;&gt;"",'Your debts'!$F$12&lt;'Your debts'!$F$9),AL89,0)+IF(AND('Your debts'!$F$13&lt;&gt;"",'Your debts'!$F$9&lt;&gt;"",'Your debts'!$F$13&lt;'Your debts'!$F$9),AQ89,0)+IF(AND('Your debts'!$F$14&lt;&gt;"",'Your debts'!$F$9&lt;&gt;"",'Your debts'!$F$14&lt;'Your debts'!$F$9),AV89,0)+IF(AND('Your debts'!$F$15&lt;&gt;"",'Your debts'!$F$9&lt;&gt;"",'Your debts'!$F$15&lt;'Your debts'!$F$9),BA89,0)))))</f>
        <v/>
      </c>
      <c r="Y89" s="33">
        <f>W89-X89</f>
        <v/>
      </c>
      <c r="Z89" s="33">
        <f>IF(AD88&lt;=0,0,ROUND(AD88*(1+'Your debts'!$D$10/1200),2))</f>
        <v/>
      </c>
      <c r="AA89" s="33">
        <f>IF(Z89&lt;=0,0,MIN('Your debts'!$E$10,Z89))</f>
        <v/>
      </c>
      <c r="AB89" s="33">
        <f>Z89-AA89</f>
        <v/>
      </c>
      <c r="AC89" s="33">
        <f>IF('Your debts'!$F$10="",0,MIN(AB89,MAX(0,MAX(0,'Your debts'!$C$19-(G89+L89+Q89+V89+AA89+AF89+AK89+AP89+AU89+AZ89))-(IF(AND('Your debts'!$F$6&lt;&gt;"",'Your debts'!$F$10&lt;&gt;"",'Your debts'!$F$6&lt;'Your debts'!$F$10),H89,0)+IF(AND('Your debts'!$F$7&lt;&gt;"",'Your debts'!$F$10&lt;&gt;"",'Your debts'!$F$7&lt;'Your debts'!$F$10),M89,0)+IF(AND('Your debts'!$F$8&lt;&gt;"",'Your debts'!$F$10&lt;&gt;"",'Your debts'!$F$8&lt;'Your debts'!$F$10),R89,0)+IF(AND('Your debts'!$F$9&lt;&gt;"",'Your debts'!$F$10&lt;&gt;"",'Your debts'!$F$9&lt;'Your debts'!$F$10),W89,0)+IF(AND('Your debts'!$F$11&lt;&gt;"",'Your debts'!$F$10&lt;&gt;"",'Your debts'!$F$11&lt;'Your debts'!$F$10),AG89,0)+IF(AND('Your debts'!$F$12&lt;&gt;"",'Your debts'!$F$10&lt;&gt;"",'Your debts'!$F$12&lt;'Your debts'!$F$10),AL89,0)+IF(AND('Your debts'!$F$13&lt;&gt;"",'Your debts'!$F$10&lt;&gt;"",'Your debts'!$F$13&lt;'Your debts'!$F$10),AQ89,0)+IF(AND('Your debts'!$F$14&lt;&gt;"",'Your debts'!$F$10&lt;&gt;"",'Your debts'!$F$14&lt;'Your debts'!$F$10),AV89,0)+IF(AND('Your debts'!$F$15&lt;&gt;"",'Your debts'!$F$10&lt;&gt;"",'Your debts'!$F$15&lt;'Your debts'!$F$10),BA89,0)))))</f>
        <v/>
      </c>
      <c r="AD89" s="33">
        <f>AB89-AC89</f>
        <v/>
      </c>
      <c r="AE89" s="33">
        <f>IF(AI88&lt;=0,0,ROUND(AI88*(1+'Your debts'!$D$11/1200),2))</f>
        <v/>
      </c>
      <c r="AF89" s="33">
        <f>IF(AE89&lt;=0,0,MIN('Your debts'!$E$11,AE89))</f>
        <v/>
      </c>
      <c r="AG89" s="33">
        <f>AE89-AF89</f>
        <v/>
      </c>
      <c r="AH89" s="33">
        <f>IF('Your debts'!$F$11="",0,MIN(AG89,MAX(0,MAX(0,'Your debts'!$C$19-(G89+L89+Q89+V89+AA89+AF89+AK89+AP89+AU89+AZ89))-(IF(AND('Your debts'!$F$6&lt;&gt;"",'Your debts'!$F$11&lt;&gt;"",'Your debts'!$F$6&lt;'Your debts'!$F$11),H89,0)+IF(AND('Your debts'!$F$7&lt;&gt;"",'Your debts'!$F$11&lt;&gt;"",'Your debts'!$F$7&lt;'Your debts'!$F$11),M89,0)+IF(AND('Your debts'!$F$8&lt;&gt;"",'Your debts'!$F$11&lt;&gt;"",'Your debts'!$F$8&lt;'Your debts'!$F$11),R89,0)+IF(AND('Your debts'!$F$9&lt;&gt;"",'Your debts'!$F$11&lt;&gt;"",'Your debts'!$F$9&lt;'Your debts'!$F$11),W89,0)+IF(AND('Your debts'!$F$10&lt;&gt;"",'Your debts'!$F$11&lt;&gt;"",'Your debts'!$F$10&lt;'Your debts'!$F$11),AB89,0)+IF(AND('Your debts'!$F$12&lt;&gt;"",'Your debts'!$F$11&lt;&gt;"",'Your debts'!$F$12&lt;'Your debts'!$F$11),AL89,0)+IF(AND('Your debts'!$F$13&lt;&gt;"",'Your debts'!$F$11&lt;&gt;"",'Your debts'!$F$13&lt;'Your debts'!$F$11),AQ89,0)+IF(AND('Your debts'!$F$14&lt;&gt;"",'Your debts'!$F$11&lt;&gt;"",'Your debts'!$F$14&lt;'Your debts'!$F$11),AV89,0)+IF(AND('Your debts'!$F$15&lt;&gt;"",'Your debts'!$F$11&lt;&gt;"",'Your debts'!$F$15&lt;'Your debts'!$F$11),BA89,0)))))</f>
        <v/>
      </c>
      <c r="AI89" s="33">
        <f>AG89-AH89</f>
        <v/>
      </c>
      <c r="AJ89" s="33">
        <f>IF(AN88&lt;=0,0,ROUND(AN88*(1+'Your debts'!$D$12/1200),2))</f>
        <v/>
      </c>
      <c r="AK89" s="33">
        <f>IF(AJ89&lt;=0,0,MIN('Your debts'!$E$12,AJ89))</f>
        <v/>
      </c>
      <c r="AL89" s="33">
        <f>AJ89-AK89</f>
        <v/>
      </c>
      <c r="AM89" s="33">
        <f>IF('Your debts'!$F$12="",0,MIN(AL89,MAX(0,MAX(0,'Your debts'!$C$19-(G89+L89+Q89+V89+AA89+AF89+AK89+AP89+AU89+AZ89))-(IF(AND('Your debts'!$F$6&lt;&gt;"",'Your debts'!$F$12&lt;&gt;"",'Your debts'!$F$6&lt;'Your debts'!$F$12),H89,0)+IF(AND('Your debts'!$F$7&lt;&gt;"",'Your debts'!$F$12&lt;&gt;"",'Your debts'!$F$7&lt;'Your debts'!$F$12),M89,0)+IF(AND('Your debts'!$F$8&lt;&gt;"",'Your debts'!$F$12&lt;&gt;"",'Your debts'!$F$8&lt;'Your debts'!$F$12),R89,0)+IF(AND('Your debts'!$F$9&lt;&gt;"",'Your debts'!$F$12&lt;&gt;"",'Your debts'!$F$9&lt;'Your debts'!$F$12),W89,0)+IF(AND('Your debts'!$F$10&lt;&gt;"",'Your debts'!$F$12&lt;&gt;"",'Your debts'!$F$10&lt;'Your debts'!$F$12),AB89,0)+IF(AND('Your debts'!$F$11&lt;&gt;"",'Your debts'!$F$12&lt;&gt;"",'Your debts'!$F$11&lt;'Your debts'!$F$12),AG89,0)+IF(AND('Your debts'!$F$13&lt;&gt;"",'Your debts'!$F$12&lt;&gt;"",'Your debts'!$F$13&lt;'Your debts'!$F$12),AQ89,0)+IF(AND('Your debts'!$F$14&lt;&gt;"",'Your debts'!$F$12&lt;&gt;"",'Your debts'!$F$14&lt;'Your debts'!$F$12),AV89,0)+IF(AND('Your debts'!$F$15&lt;&gt;"",'Your debts'!$F$12&lt;&gt;"",'Your debts'!$F$15&lt;'Your debts'!$F$12),BA89,0)))))</f>
        <v/>
      </c>
      <c r="AN89" s="33">
        <f>AL89-AM89</f>
        <v/>
      </c>
      <c r="AO89" s="33">
        <f>IF(AS88&lt;=0,0,ROUND(AS88*(1+'Your debts'!$D$13/1200),2))</f>
        <v/>
      </c>
      <c r="AP89" s="33">
        <f>IF(AO89&lt;=0,0,MIN('Your debts'!$E$13,AO89))</f>
        <v/>
      </c>
      <c r="AQ89" s="33">
        <f>AO89-AP89</f>
        <v/>
      </c>
      <c r="AR89" s="33">
        <f>IF('Your debts'!$F$13="",0,MIN(AQ89,MAX(0,MAX(0,'Your debts'!$C$19-(G89+L89+Q89+V89+AA89+AF89+AK89+AP89+AU89+AZ89))-(IF(AND('Your debts'!$F$6&lt;&gt;"",'Your debts'!$F$13&lt;&gt;"",'Your debts'!$F$6&lt;'Your debts'!$F$13),H89,0)+IF(AND('Your debts'!$F$7&lt;&gt;"",'Your debts'!$F$13&lt;&gt;"",'Your debts'!$F$7&lt;'Your debts'!$F$13),M89,0)+IF(AND('Your debts'!$F$8&lt;&gt;"",'Your debts'!$F$13&lt;&gt;"",'Your debts'!$F$8&lt;'Your debts'!$F$13),R89,0)+IF(AND('Your debts'!$F$9&lt;&gt;"",'Your debts'!$F$13&lt;&gt;"",'Your debts'!$F$9&lt;'Your debts'!$F$13),W89,0)+IF(AND('Your debts'!$F$10&lt;&gt;"",'Your debts'!$F$13&lt;&gt;"",'Your debts'!$F$10&lt;'Your debts'!$F$13),AB89,0)+IF(AND('Your debts'!$F$11&lt;&gt;"",'Your debts'!$F$13&lt;&gt;"",'Your debts'!$F$11&lt;'Your debts'!$F$13),AG89,0)+IF(AND('Your debts'!$F$12&lt;&gt;"",'Your debts'!$F$13&lt;&gt;"",'Your debts'!$F$12&lt;'Your debts'!$F$13),AL89,0)+IF(AND('Your debts'!$F$14&lt;&gt;"",'Your debts'!$F$13&lt;&gt;"",'Your debts'!$F$14&lt;'Your debts'!$F$13),AV89,0)+IF(AND('Your debts'!$F$15&lt;&gt;"",'Your debts'!$F$13&lt;&gt;"",'Your debts'!$F$15&lt;'Your debts'!$F$13),BA89,0)))))</f>
        <v/>
      </c>
      <c r="AS89" s="33">
        <f>AQ89-AR89</f>
        <v/>
      </c>
      <c r="AT89" s="33">
        <f>IF(AX88&lt;=0,0,ROUND(AX88*(1+'Your debts'!$D$14/1200),2))</f>
        <v/>
      </c>
      <c r="AU89" s="33">
        <f>IF(AT89&lt;=0,0,MIN('Your debts'!$E$14,AT89))</f>
        <v/>
      </c>
      <c r="AV89" s="33">
        <f>AT89-AU89</f>
        <v/>
      </c>
      <c r="AW89" s="33">
        <f>IF('Your debts'!$F$14="",0,MIN(AV89,MAX(0,MAX(0,'Your debts'!$C$19-(G89+L89+Q89+V89+AA89+AF89+AK89+AP89+AU89+AZ89))-(IF(AND('Your debts'!$F$6&lt;&gt;"",'Your debts'!$F$14&lt;&gt;"",'Your debts'!$F$6&lt;'Your debts'!$F$14),H89,0)+IF(AND('Your debts'!$F$7&lt;&gt;"",'Your debts'!$F$14&lt;&gt;"",'Your debts'!$F$7&lt;'Your debts'!$F$14),M89,0)+IF(AND('Your debts'!$F$8&lt;&gt;"",'Your debts'!$F$14&lt;&gt;"",'Your debts'!$F$8&lt;'Your debts'!$F$14),R89,0)+IF(AND('Your debts'!$F$9&lt;&gt;"",'Your debts'!$F$14&lt;&gt;"",'Your debts'!$F$9&lt;'Your debts'!$F$14),W89,0)+IF(AND('Your debts'!$F$10&lt;&gt;"",'Your debts'!$F$14&lt;&gt;"",'Your debts'!$F$10&lt;'Your debts'!$F$14),AB89,0)+IF(AND('Your debts'!$F$11&lt;&gt;"",'Your debts'!$F$14&lt;&gt;"",'Your debts'!$F$11&lt;'Your debts'!$F$14),AG89,0)+IF(AND('Your debts'!$F$12&lt;&gt;"",'Your debts'!$F$14&lt;&gt;"",'Your debts'!$F$12&lt;'Your debts'!$F$14),AL89,0)+IF(AND('Your debts'!$F$13&lt;&gt;"",'Your debts'!$F$14&lt;&gt;"",'Your debts'!$F$13&lt;'Your debts'!$F$14),AQ89,0)+IF(AND('Your debts'!$F$15&lt;&gt;"",'Your debts'!$F$14&lt;&gt;"",'Your debts'!$F$15&lt;'Your debts'!$F$14),BA89,0)))))</f>
        <v/>
      </c>
      <c r="AX89" s="33">
        <f>AV89-AW89</f>
        <v/>
      </c>
      <c r="AY89" s="33">
        <f>IF(BC88&lt;=0,0,ROUND(BC88*(1+'Your debts'!$D$15/1200),2))</f>
        <v/>
      </c>
      <c r="AZ89" s="33">
        <f>IF(AY89&lt;=0,0,MIN('Your debts'!$E$15,AY89))</f>
        <v/>
      </c>
      <c r="BA89" s="33">
        <f>AY89-AZ89</f>
        <v/>
      </c>
      <c r="BB89" s="33">
        <f>IF('Your debts'!$F$15="",0,MIN(BA89,MAX(0,MAX(0,'Your debts'!$C$19-(G89+L89+Q89+V89+AA89+AF89+AK89+AP89+AU89+AZ89))-(IF(AND('Your debts'!$F$6&lt;&gt;"",'Your debts'!$F$15&lt;&gt;"",'Your debts'!$F$6&lt;'Your debts'!$F$15),H89,0)+IF(AND('Your debts'!$F$7&lt;&gt;"",'Your debts'!$F$15&lt;&gt;"",'Your debts'!$F$7&lt;'Your debts'!$F$15),M89,0)+IF(AND('Your debts'!$F$8&lt;&gt;"",'Your debts'!$F$15&lt;&gt;"",'Your debts'!$F$8&lt;'Your debts'!$F$15),R89,0)+IF(AND('Your debts'!$F$9&lt;&gt;"",'Your debts'!$F$15&lt;&gt;"",'Your debts'!$F$9&lt;'Your debts'!$F$15),W89,0)+IF(AND('Your debts'!$F$10&lt;&gt;"",'Your debts'!$F$15&lt;&gt;"",'Your debts'!$F$10&lt;'Your debts'!$F$15),AB89,0)+IF(AND('Your debts'!$F$11&lt;&gt;"",'Your debts'!$F$15&lt;&gt;"",'Your debts'!$F$11&lt;'Your debts'!$F$15),AG89,0)+IF(AND('Your debts'!$F$12&lt;&gt;"",'Your debts'!$F$15&lt;&gt;"",'Your debts'!$F$12&lt;'Your debts'!$F$15),AL89,0)+IF(AND('Your debts'!$F$13&lt;&gt;"",'Your debts'!$F$15&lt;&gt;"",'Your debts'!$F$13&lt;'Your debts'!$F$15),AQ89,0)+IF(AND('Your debts'!$F$14&lt;&gt;"",'Your debts'!$F$15&lt;&gt;"",'Your debts'!$F$14&lt;'Your debts'!$F$15),AV89,0)))))</f>
        <v/>
      </c>
      <c r="BC89" s="33">
        <f>BA89-BB89</f>
        <v/>
      </c>
    </row>
    <row r="90">
      <c r="A90" s="30" t="n">
        <v>75</v>
      </c>
      <c r="B90" s="31">
        <f>EDATE($B$15,75)</f>
        <v/>
      </c>
      <c r="C90" s="32">
        <f>IF(J89&lt;=0,0,F90-J89)+IF(O89&lt;=0,0,K90-O89)+IF(T89&lt;=0,0,P90-T89)+IF(Y89&lt;=0,0,U90-Y89)+IF(AD89&lt;=0,0,Z90-AD89)+IF(AI89&lt;=0,0,AE90-AI89)+IF(AN89&lt;=0,0,AJ90-AN89)+IF(AS89&lt;=0,0,AO90-AS89)+IF(AX89&lt;=0,0,AT90-AX89)+IF(BC89&lt;=0,0,AY90-BC89)</f>
        <v/>
      </c>
      <c r="D90" s="32">
        <f>G90+I90+L90+N90+Q90+S90+V90+X90+AA90+AC90+AF90+AH90+AK90+AM90+AP90+AR90+AU90+AW90+AZ90+BB90</f>
        <v/>
      </c>
      <c r="E90" s="32">
        <f>J90+O90+T90+Y90+AD90+AI90+AN90+AS90+AX90+BC90</f>
        <v/>
      </c>
      <c r="F90" s="33">
        <f>IF(J89&lt;=0,0,ROUND(J89*(1+'Your debts'!$D$6/1200),2))</f>
        <v/>
      </c>
      <c r="G90" s="33">
        <f>IF(F90&lt;=0,0,MIN('Your debts'!$E$6,F90))</f>
        <v/>
      </c>
      <c r="H90" s="33">
        <f>F90-G90</f>
        <v/>
      </c>
      <c r="I90" s="33">
        <f>IF('Your debts'!$F$6="",0,MIN(H90,MAX(0,MAX(0,'Your debts'!$C$19-(G90+L90+Q90+V90+AA90+AF90+AK90+AP90+AU90+AZ90))-(IF(AND('Your debts'!$F$7&lt;&gt;"",'Your debts'!$F$6&lt;&gt;"",'Your debts'!$F$7&lt;'Your debts'!$F$6),M90,0)+IF(AND('Your debts'!$F$8&lt;&gt;"",'Your debts'!$F$6&lt;&gt;"",'Your debts'!$F$8&lt;'Your debts'!$F$6),R90,0)+IF(AND('Your debts'!$F$9&lt;&gt;"",'Your debts'!$F$6&lt;&gt;"",'Your debts'!$F$9&lt;'Your debts'!$F$6),W90,0)+IF(AND('Your debts'!$F$10&lt;&gt;"",'Your debts'!$F$6&lt;&gt;"",'Your debts'!$F$10&lt;'Your debts'!$F$6),AB90,0)+IF(AND('Your debts'!$F$11&lt;&gt;"",'Your debts'!$F$6&lt;&gt;"",'Your debts'!$F$11&lt;'Your debts'!$F$6),AG90,0)+IF(AND('Your debts'!$F$12&lt;&gt;"",'Your debts'!$F$6&lt;&gt;"",'Your debts'!$F$12&lt;'Your debts'!$F$6),AL90,0)+IF(AND('Your debts'!$F$13&lt;&gt;"",'Your debts'!$F$6&lt;&gt;"",'Your debts'!$F$13&lt;'Your debts'!$F$6),AQ90,0)+IF(AND('Your debts'!$F$14&lt;&gt;"",'Your debts'!$F$6&lt;&gt;"",'Your debts'!$F$14&lt;'Your debts'!$F$6),AV90,0)+IF(AND('Your debts'!$F$15&lt;&gt;"",'Your debts'!$F$6&lt;&gt;"",'Your debts'!$F$15&lt;'Your debts'!$F$6),BA90,0)))))</f>
        <v/>
      </c>
      <c r="J90" s="33">
        <f>H90-I90</f>
        <v/>
      </c>
      <c r="K90" s="33">
        <f>IF(O89&lt;=0,0,ROUND(O89*(1+'Your debts'!$D$7/1200),2))</f>
        <v/>
      </c>
      <c r="L90" s="33">
        <f>IF(K90&lt;=0,0,MIN('Your debts'!$E$7,K90))</f>
        <v/>
      </c>
      <c r="M90" s="33">
        <f>K90-L90</f>
        <v/>
      </c>
      <c r="N90" s="33">
        <f>IF('Your debts'!$F$7="",0,MIN(M90,MAX(0,MAX(0,'Your debts'!$C$19-(G90+L90+Q90+V90+AA90+AF90+AK90+AP90+AU90+AZ90))-(IF(AND('Your debts'!$F$6&lt;&gt;"",'Your debts'!$F$7&lt;&gt;"",'Your debts'!$F$6&lt;'Your debts'!$F$7),H90,0)+IF(AND('Your debts'!$F$8&lt;&gt;"",'Your debts'!$F$7&lt;&gt;"",'Your debts'!$F$8&lt;'Your debts'!$F$7),R90,0)+IF(AND('Your debts'!$F$9&lt;&gt;"",'Your debts'!$F$7&lt;&gt;"",'Your debts'!$F$9&lt;'Your debts'!$F$7),W90,0)+IF(AND('Your debts'!$F$10&lt;&gt;"",'Your debts'!$F$7&lt;&gt;"",'Your debts'!$F$10&lt;'Your debts'!$F$7),AB90,0)+IF(AND('Your debts'!$F$11&lt;&gt;"",'Your debts'!$F$7&lt;&gt;"",'Your debts'!$F$11&lt;'Your debts'!$F$7),AG90,0)+IF(AND('Your debts'!$F$12&lt;&gt;"",'Your debts'!$F$7&lt;&gt;"",'Your debts'!$F$12&lt;'Your debts'!$F$7),AL90,0)+IF(AND('Your debts'!$F$13&lt;&gt;"",'Your debts'!$F$7&lt;&gt;"",'Your debts'!$F$13&lt;'Your debts'!$F$7),AQ90,0)+IF(AND('Your debts'!$F$14&lt;&gt;"",'Your debts'!$F$7&lt;&gt;"",'Your debts'!$F$14&lt;'Your debts'!$F$7),AV90,0)+IF(AND('Your debts'!$F$15&lt;&gt;"",'Your debts'!$F$7&lt;&gt;"",'Your debts'!$F$15&lt;'Your debts'!$F$7),BA90,0)))))</f>
        <v/>
      </c>
      <c r="O90" s="33">
        <f>M90-N90</f>
        <v/>
      </c>
      <c r="P90" s="33">
        <f>IF(T89&lt;=0,0,ROUND(T89*(1+'Your debts'!$D$8/1200),2))</f>
        <v/>
      </c>
      <c r="Q90" s="33">
        <f>IF(P90&lt;=0,0,MIN('Your debts'!$E$8,P90))</f>
        <v/>
      </c>
      <c r="R90" s="33">
        <f>P90-Q90</f>
        <v/>
      </c>
      <c r="S90" s="33">
        <f>IF('Your debts'!$F$8="",0,MIN(R90,MAX(0,MAX(0,'Your debts'!$C$19-(G90+L90+Q90+V90+AA90+AF90+AK90+AP90+AU90+AZ90))-(IF(AND('Your debts'!$F$6&lt;&gt;"",'Your debts'!$F$8&lt;&gt;"",'Your debts'!$F$6&lt;'Your debts'!$F$8),H90,0)+IF(AND('Your debts'!$F$7&lt;&gt;"",'Your debts'!$F$8&lt;&gt;"",'Your debts'!$F$7&lt;'Your debts'!$F$8),M90,0)+IF(AND('Your debts'!$F$9&lt;&gt;"",'Your debts'!$F$8&lt;&gt;"",'Your debts'!$F$9&lt;'Your debts'!$F$8),W90,0)+IF(AND('Your debts'!$F$10&lt;&gt;"",'Your debts'!$F$8&lt;&gt;"",'Your debts'!$F$10&lt;'Your debts'!$F$8),AB90,0)+IF(AND('Your debts'!$F$11&lt;&gt;"",'Your debts'!$F$8&lt;&gt;"",'Your debts'!$F$11&lt;'Your debts'!$F$8),AG90,0)+IF(AND('Your debts'!$F$12&lt;&gt;"",'Your debts'!$F$8&lt;&gt;"",'Your debts'!$F$12&lt;'Your debts'!$F$8),AL90,0)+IF(AND('Your debts'!$F$13&lt;&gt;"",'Your debts'!$F$8&lt;&gt;"",'Your debts'!$F$13&lt;'Your debts'!$F$8),AQ90,0)+IF(AND('Your debts'!$F$14&lt;&gt;"",'Your debts'!$F$8&lt;&gt;"",'Your debts'!$F$14&lt;'Your debts'!$F$8),AV90,0)+IF(AND('Your debts'!$F$15&lt;&gt;"",'Your debts'!$F$8&lt;&gt;"",'Your debts'!$F$15&lt;'Your debts'!$F$8),BA90,0)))))</f>
        <v/>
      </c>
      <c r="T90" s="33">
        <f>R90-S90</f>
        <v/>
      </c>
      <c r="U90" s="33">
        <f>IF(Y89&lt;=0,0,ROUND(Y89*(1+'Your debts'!$D$9/1200),2))</f>
        <v/>
      </c>
      <c r="V90" s="33">
        <f>IF(U90&lt;=0,0,MIN('Your debts'!$E$9,U90))</f>
        <v/>
      </c>
      <c r="W90" s="33">
        <f>U90-V90</f>
        <v/>
      </c>
      <c r="X90" s="33">
        <f>IF('Your debts'!$F$9="",0,MIN(W90,MAX(0,MAX(0,'Your debts'!$C$19-(G90+L90+Q90+V90+AA90+AF90+AK90+AP90+AU90+AZ90))-(IF(AND('Your debts'!$F$6&lt;&gt;"",'Your debts'!$F$9&lt;&gt;"",'Your debts'!$F$6&lt;'Your debts'!$F$9),H90,0)+IF(AND('Your debts'!$F$7&lt;&gt;"",'Your debts'!$F$9&lt;&gt;"",'Your debts'!$F$7&lt;'Your debts'!$F$9),M90,0)+IF(AND('Your debts'!$F$8&lt;&gt;"",'Your debts'!$F$9&lt;&gt;"",'Your debts'!$F$8&lt;'Your debts'!$F$9),R90,0)+IF(AND('Your debts'!$F$10&lt;&gt;"",'Your debts'!$F$9&lt;&gt;"",'Your debts'!$F$10&lt;'Your debts'!$F$9),AB90,0)+IF(AND('Your debts'!$F$11&lt;&gt;"",'Your debts'!$F$9&lt;&gt;"",'Your debts'!$F$11&lt;'Your debts'!$F$9),AG90,0)+IF(AND('Your debts'!$F$12&lt;&gt;"",'Your debts'!$F$9&lt;&gt;"",'Your debts'!$F$12&lt;'Your debts'!$F$9),AL90,0)+IF(AND('Your debts'!$F$13&lt;&gt;"",'Your debts'!$F$9&lt;&gt;"",'Your debts'!$F$13&lt;'Your debts'!$F$9),AQ90,0)+IF(AND('Your debts'!$F$14&lt;&gt;"",'Your debts'!$F$9&lt;&gt;"",'Your debts'!$F$14&lt;'Your debts'!$F$9),AV90,0)+IF(AND('Your debts'!$F$15&lt;&gt;"",'Your debts'!$F$9&lt;&gt;"",'Your debts'!$F$15&lt;'Your debts'!$F$9),BA90,0)))))</f>
        <v/>
      </c>
      <c r="Y90" s="33">
        <f>W90-X90</f>
        <v/>
      </c>
      <c r="Z90" s="33">
        <f>IF(AD89&lt;=0,0,ROUND(AD89*(1+'Your debts'!$D$10/1200),2))</f>
        <v/>
      </c>
      <c r="AA90" s="33">
        <f>IF(Z90&lt;=0,0,MIN('Your debts'!$E$10,Z90))</f>
        <v/>
      </c>
      <c r="AB90" s="33">
        <f>Z90-AA90</f>
        <v/>
      </c>
      <c r="AC90" s="33">
        <f>IF('Your debts'!$F$10="",0,MIN(AB90,MAX(0,MAX(0,'Your debts'!$C$19-(G90+L90+Q90+V90+AA90+AF90+AK90+AP90+AU90+AZ90))-(IF(AND('Your debts'!$F$6&lt;&gt;"",'Your debts'!$F$10&lt;&gt;"",'Your debts'!$F$6&lt;'Your debts'!$F$10),H90,0)+IF(AND('Your debts'!$F$7&lt;&gt;"",'Your debts'!$F$10&lt;&gt;"",'Your debts'!$F$7&lt;'Your debts'!$F$10),M90,0)+IF(AND('Your debts'!$F$8&lt;&gt;"",'Your debts'!$F$10&lt;&gt;"",'Your debts'!$F$8&lt;'Your debts'!$F$10),R90,0)+IF(AND('Your debts'!$F$9&lt;&gt;"",'Your debts'!$F$10&lt;&gt;"",'Your debts'!$F$9&lt;'Your debts'!$F$10),W90,0)+IF(AND('Your debts'!$F$11&lt;&gt;"",'Your debts'!$F$10&lt;&gt;"",'Your debts'!$F$11&lt;'Your debts'!$F$10),AG90,0)+IF(AND('Your debts'!$F$12&lt;&gt;"",'Your debts'!$F$10&lt;&gt;"",'Your debts'!$F$12&lt;'Your debts'!$F$10),AL90,0)+IF(AND('Your debts'!$F$13&lt;&gt;"",'Your debts'!$F$10&lt;&gt;"",'Your debts'!$F$13&lt;'Your debts'!$F$10),AQ90,0)+IF(AND('Your debts'!$F$14&lt;&gt;"",'Your debts'!$F$10&lt;&gt;"",'Your debts'!$F$14&lt;'Your debts'!$F$10),AV90,0)+IF(AND('Your debts'!$F$15&lt;&gt;"",'Your debts'!$F$10&lt;&gt;"",'Your debts'!$F$15&lt;'Your debts'!$F$10),BA90,0)))))</f>
        <v/>
      </c>
      <c r="AD90" s="33">
        <f>AB90-AC90</f>
        <v/>
      </c>
      <c r="AE90" s="33">
        <f>IF(AI89&lt;=0,0,ROUND(AI89*(1+'Your debts'!$D$11/1200),2))</f>
        <v/>
      </c>
      <c r="AF90" s="33">
        <f>IF(AE90&lt;=0,0,MIN('Your debts'!$E$11,AE90))</f>
        <v/>
      </c>
      <c r="AG90" s="33">
        <f>AE90-AF90</f>
        <v/>
      </c>
      <c r="AH90" s="33">
        <f>IF('Your debts'!$F$11="",0,MIN(AG90,MAX(0,MAX(0,'Your debts'!$C$19-(G90+L90+Q90+V90+AA90+AF90+AK90+AP90+AU90+AZ90))-(IF(AND('Your debts'!$F$6&lt;&gt;"",'Your debts'!$F$11&lt;&gt;"",'Your debts'!$F$6&lt;'Your debts'!$F$11),H90,0)+IF(AND('Your debts'!$F$7&lt;&gt;"",'Your debts'!$F$11&lt;&gt;"",'Your debts'!$F$7&lt;'Your debts'!$F$11),M90,0)+IF(AND('Your debts'!$F$8&lt;&gt;"",'Your debts'!$F$11&lt;&gt;"",'Your debts'!$F$8&lt;'Your debts'!$F$11),R90,0)+IF(AND('Your debts'!$F$9&lt;&gt;"",'Your debts'!$F$11&lt;&gt;"",'Your debts'!$F$9&lt;'Your debts'!$F$11),W90,0)+IF(AND('Your debts'!$F$10&lt;&gt;"",'Your debts'!$F$11&lt;&gt;"",'Your debts'!$F$10&lt;'Your debts'!$F$11),AB90,0)+IF(AND('Your debts'!$F$12&lt;&gt;"",'Your debts'!$F$11&lt;&gt;"",'Your debts'!$F$12&lt;'Your debts'!$F$11),AL90,0)+IF(AND('Your debts'!$F$13&lt;&gt;"",'Your debts'!$F$11&lt;&gt;"",'Your debts'!$F$13&lt;'Your debts'!$F$11),AQ90,0)+IF(AND('Your debts'!$F$14&lt;&gt;"",'Your debts'!$F$11&lt;&gt;"",'Your debts'!$F$14&lt;'Your debts'!$F$11),AV90,0)+IF(AND('Your debts'!$F$15&lt;&gt;"",'Your debts'!$F$11&lt;&gt;"",'Your debts'!$F$15&lt;'Your debts'!$F$11),BA90,0)))))</f>
        <v/>
      </c>
      <c r="AI90" s="33">
        <f>AG90-AH90</f>
        <v/>
      </c>
      <c r="AJ90" s="33">
        <f>IF(AN89&lt;=0,0,ROUND(AN89*(1+'Your debts'!$D$12/1200),2))</f>
        <v/>
      </c>
      <c r="AK90" s="33">
        <f>IF(AJ90&lt;=0,0,MIN('Your debts'!$E$12,AJ90))</f>
        <v/>
      </c>
      <c r="AL90" s="33">
        <f>AJ90-AK90</f>
        <v/>
      </c>
      <c r="AM90" s="33">
        <f>IF('Your debts'!$F$12="",0,MIN(AL90,MAX(0,MAX(0,'Your debts'!$C$19-(G90+L90+Q90+V90+AA90+AF90+AK90+AP90+AU90+AZ90))-(IF(AND('Your debts'!$F$6&lt;&gt;"",'Your debts'!$F$12&lt;&gt;"",'Your debts'!$F$6&lt;'Your debts'!$F$12),H90,0)+IF(AND('Your debts'!$F$7&lt;&gt;"",'Your debts'!$F$12&lt;&gt;"",'Your debts'!$F$7&lt;'Your debts'!$F$12),M90,0)+IF(AND('Your debts'!$F$8&lt;&gt;"",'Your debts'!$F$12&lt;&gt;"",'Your debts'!$F$8&lt;'Your debts'!$F$12),R90,0)+IF(AND('Your debts'!$F$9&lt;&gt;"",'Your debts'!$F$12&lt;&gt;"",'Your debts'!$F$9&lt;'Your debts'!$F$12),W90,0)+IF(AND('Your debts'!$F$10&lt;&gt;"",'Your debts'!$F$12&lt;&gt;"",'Your debts'!$F$10&lt;'Your debts'!$F$12),AB90,0)+IF(AND('Your debts'!$F$11&lt;&gt;"",'Your debts'!$F$12&lt;&gt;"",'Your debts'!$F$11&lt;'Your debts'!$F$12),AG90,0)+IF(AND('Your debts'!$F$13&lt;&gt;"",'Your debts'!$F$12&lt;&gt;"",'Your debts'!$F$13&lt;'Your debts'!$F$12),AQ90,0)+IF(AND('Your debts'!$F$14&lt;&gt;"",'Your debts'!$F$12&lt;&gt;"",'Your debts'!$F$14&lt;'Your debts'!$F$12),AV90,0)+IF(AND('Your debts'!$F$15&lt;&gt;"",'Your debts'!$F$12&lt;&gt;"",'Your debts'!$F$15&lt;'Your debts'!$F$12),BA90,0)))))</f>
        <v/>
      </c>
      <c r="AN90" s="33">
        <f>AL90-AM90</f>
        <v/>
      </c>
      <c r="AO90" s="33">
        <f>IF(AS89&lt;=0,0,ROUND(AS89*(1+'Your debts'!$D$13/1200),2))</f>
        <v/>
      </c>
      <c r="AP90" s="33">
        <f>IF(AO90&lt;=0,0,MIN('Your debts'!$E$13,AO90))</f>
        <v/>
      </c>
      <c r="AQ90" s="33">
        <f>AO90-AP90</f>
        <v/>
      </c>
      <c r="AR90" s="33">
        <f>IF('Your debts'!$F$13="",0,MIN(AQ90,MAX(0,MAX(0,'Your debts'!$C$19-(G90+L90+Q90+V90+AA90+AF90+AK90+AP90+AU90+AZ90))-(IF(AND('Your debts'!$F$6&lt;&gt;"",'Your debts'!$F$13&lt;&gt;"",'Your debts'!$F$6&lt;'Your debts'!$F$13),H90,0)+IF(AND('Your debts'!$F$7&lt;&gt;"",'Your debts'!$F$13&lt;&gt;"",'Your debts'!$F$7&lt;'Your debts'!$F$13),M90,0)+IF(AND('Your debts'!$F$8&lt;&gt;"",'Your debts'!$F$13&lt;&gt;"",'Your debts'!$F$8&lt;'Your debts'!$F$13),R90,0)+IF(AND('Your debts'!$F$9&lt;&gt;"",'Your debts'!$F$13&lt;&gt;"",'Your debts'!$F$9&lt;'Your debts'!$F$13),W90,0)+IF(AND('Your debts'!$F$10&lt;&gt;"",'Your debts'!$F$13&lt;&gt;"",'Your debts'!$F$10&lt;'Your debts'!$F$13),AB90,0)+IF(AND('Your debts'!$F$11&lt;&gt;"",'Your debts'!$F$13&lt;&gt;"",'Your debts'!$F$11&lt;'Your debts'!$F$13),AG90,0)+IF(AND('Your debts'!$F$12&lt;&gt;"",'Your debts'!$F$13&lt;&gt;"",'Your debts'!$F$12&lt;'Your debts'!$F$13),AL90,0)+IF(AND('Your debts'!$F$14&lt;&gt;"",'Your debts'!$F$13&lt;&gt;"",'Your debts'!$F$14&lt;'Your debts'!$F$13),AV90,0)+IF(AND('Your debts'!$F$15&lt;&gt;"",'Your debts'!$F$13&lt;&gt;"",'Your debts'!$F$15&lt;'Your debts'!$F$13),BA90,0)))))</f>
        <v/>
      </c>
      <c r="AS90" s="33">
        <f>AQ90-AR90</f>
        <v/>
      </c>
      <c r="AT90" s="33">
        <f>IF(AX89&lt;=0,0,ROUND(AX89*(1+'Your debts'!$D$14/1200),2))</f>
        <v/>
      </c>
      <c r="AU90" s="33">
        <f>IF(AT90&lt;=0,0,MIN('Your debts'!$E$14,AT90))</f>
        <v/>
      </c>
      <c r="AV90" s="33">
        <f>AT90-AU90</f>
        <v/>
      </c>
      <c r="AW90" s="33">
        <f>IF('Your debts'!$F$14="",0,MIN(AV90,MAX(0,MAX(0,'Your debts'!$C$19-(G90+L90+Q90+V90+AA90+AF90+AK90+AP90+AU90+AZ90))-(IF(AND('Your debts'!$F$6&lt;&gt;"",'Your debts'!$F$14&lt;&gt;"",'Your debts'!$F$6&lt;'Your debts'!$F$14),H90,0)+IF(AND('Your debts'!$F$7&lt;&gt;"",'Your debts'!$F$14&lt;&gt;"",'Your debts'!$F$7&lt;'Your debts'!$F$14),M90,0)+IF(AND('Your debts'!$F$8&lt;&gt;"",'Your debts'!$F$14&lt;&gt;"",'Your debts'!$F$8&lt;'Your debts'!$F$14),R90,0)+IF(AND('Your debts'!$F$9&lt;&gt;"",'Your debts'!$F$14&lt;&gt;"",'Your debts'!$F$9&lt;'Your debts'!$F$14),W90,0)+IF(AND('Your debts'!$F$10&lt;&gt;"",'Your debts'!$F$14&lt;&gt;"",'Your debts'!$F$10&lt;'Your debts'!$F$14),AB90,0)+IF(AND('Your debts'!$F$11&lt;&gt;"",'Your debts'!$F$14&lt;&gt;"",'Your debts'!$F$11&lt;'Your debts'!$F$14),AG90,0)+IF(AND('Your debts'!$F$12&lt;&gt;"",'Your debts'!$F$14&lt;&gt;"",'Your debts'!$F$12&lt;'Your debts'!$F$14),AL90,0)+IF(AND('Your debts'!$F$13&lt;&gt;"",'Your debts'!$F$14&lt;&gt;"",'Your debts'!$F$13&lt;'Your debts'!$F$14),AQ90,0)+IF(AND('Your debts'!$F$15&lt;&gt;"",'Your debts'!$F$14&lt;&gt;"",'Your debts'!$F$15&lt;'Your debts'!$F$14),BA90,0)))))</f>
        <v/>
      </c>
      <c r="AX90" s="33">
        <f>AV90-AW90</f>
        <v/>
      </c>
      <c r="AY90" s="33">
        <f>IF(BC89&lt;=0,0,ROUND(BC89*(1+'Your debts'!$D$15/1200),2))</f>
        <v/>
      </c>
      <c r="AZ90" s="33">
        <f>IF(AY90&lt;=0,0,MIN('Your debts'!$E$15,AY90))</f>
        <v/>
      </c>
      <c r="BA90" s="33">
        <f>AY90-AZ90</f>
        <v/>
      </c>
      <c r="BB90" s="33">
        <f>IF('Your debts'!$F$15="",0,MIN(BA90,MAX(0,MAX(0,'Your debts'!$C$19-(G90+L90+Q90+V90+AA90+AF90+AK90+AP90+AU90+AZ90))-(IF(AND('Your debts'!$F$6&lt;&gt;"",'Your debts'!$F$15&lt;&gt;"",'Your debts'!$F$6&lt;'Your debts'!$F$15),H90,0)+IF(AND('Your debts'!$F$7&lt;&gt;"",'Your debts'!$F$15&lt;&gt;"",'Your debts'!$F$7&lt;'Your debts'!$F$15),M90,0)+IF(AND('Your debts'!$F$8&lt;&gt;"",'Your debts'!$F$15&lt;&gt;"",'Your debts'!$F$8&lt;'Your debts'!$F$15),R90,0)+IF(AND('Your debts'!$F$9&lt;&gt;"",'Your debts'!$F$15&lt;&gt;"",'Your debts'!$F$9&lt;'Your debts'!$F$15),W90,0)+IF(AND('Your debts'!$F$10&lt;&gt;"",'Your debts'!$F$15&lt;&gt;"",'Your debts'!$F$10&lt;'Your debts'!$F$15),AB90,0)+IF(AND('Your debts'!$F$11&lt;&gt;"",'Your debts'!$F$15&lt;&gt;"",'Your debts'!$F$11&lt;'Your debts'!$F$15),AG90,0)+IF(AND('Your debts'!$F$12&lt;&gt;"",'Your debts'!$F$15&lt;&gt;"",'Your debts'!$F$12&lt;'Your debts'!$F$15),AL90,0)+IF(AND('Your debts'!$F$13&lt;&gt;"",'Your debts'!$F$15&lt;&gt;"",'Your debts'!$F$13&lt;'Your debts'!$F$15),AQ90,0)+IF(AND('Your debts'!$F$14&lt;&gt;"",'Your debts'!$F$15&lt;&gt;"",'Your debts'!$F$14&lt;'Your debts'!$F$15),AV90,0)))))</f>
        <v/>
      </c>
      <c r="BC90" s="33">
        <f>BA90-BB90</f>
        <v/>
      </c>
    </row>
    <row r="91">
      <c r="A91" s="30" t="n">
        <v>76</v>
      </c>
      <c r="B91" s="31">
        <f>EDATE($B$15,76)</f>
        <v/>
      </c>
      <c r="C91" s="32">
        <f>IF(J90&lt;=0,0,F91-J90)+IF(O90&lt;=0,0,K91-O90)+IF(T90&lt;=0,0,P91-T90)+IF(Y90&lt;=0,0,U91-Y90)+IF(AD90&lt;=0,0,Z91-AD90)+IF(AI90&lt;=0,0,AE91-AI90)+IF(AN90&lt;=0,0,AJ91-AN90)+IF(AS90&lt;=0,0,AO91-AS90)+IF(AX90&lt;=0,0,AT91-AX90)+IF(BC90&lt;=0,0,AY91-BC90)</f>
        <v/>
      </c>
      <c r="D91" s="32">
        <f>G91+I91+L91+N91+Q91+S91+V91+X91+AA91+AC91+AF91+AH91+AK91+AM91+AP91+AR91+AU91+AW91+AZ91+BB91</f>
        <v/>
      </c>
      <c r="E91" s="32">
        <f>J91+O91+T91+Y91+AD91+AI91+AN91+AS91+AX91+BC91</f>
        <v/>
      </c>
      <c r="F91" s="33">
        <f>IF(J90&lt;=0,0,ROUND(J90*(1+'Your debts'!$D$6/1200),2))</f>
        <v/>
      </c>
      <c r="G91" s="33">
        <f>IF(F91&lt;=0,0,MIN('Your debts'!$E$6,F91))</f>
        <v/>
      </c>
      <c r="H91" s="33">
        <f>F91-G91</f>
        <v/>
      </c>
      <c r="I91" s="33">
        <f>IF('Your debts'!$F$6="",0,MIN(H91,MAX(0,MAX(0,'Your debts'!$C$19-(G91+L91+Q91+V91+AA91+AF91+AK91+AP91+AU91+AZ91))-(IF(AND('Your debts'!$F$7&lt;&gt;"",'Your debts'!$F$6&lt;&gt;"",'Your debts'!$F$7&lt;'Your debts'!$F$6),M91,0)+IF(AND('Your debts'!$F$8&lt;&gt;"",'Your debts'!$F$6&lt;&gt;"",'Your debts'!$F$8&lt;'Your debts'!$F$6),R91,0)+IF(AND('Your debts'!$F$9&lt;&gt;"",'Your debts'!$F$6&lt;&gt;"",'Your debts'!$F$9&lt;'Your debts'!$F$6),W91,0)+IF(AND('Your debts'!$F$10&lt;&gt;"",'Your debts'!$F$6&lt;&gt;"",'Your debts'!$F$10&lt;'Your debts'!$F$6),AB91,0)+IF(AND('Your debts'!$F$11&lt;&gt;"",'Your debts'!$F$6&lt;&gt;"",'Your debts'!$F$11&lt;'Your debts'!$F$6),AG91,0)+IF(AND('Your debts'!$F$12&lt;&gt;"",'Your debts'!$F$6&lt;&gt;"",'Your debts'!$F$12&lt;'Your debts'!$F$6),AL91,0)+IF(AND('Your debts'!$F$13&lt;&gt;"",'Your debts'!$F$6&lt;&gt;"",'Your debts'!$F$13&lt;'Your debts'!$F$6),AQ91,0)+IF(AND('Your debts'!$F$14&lt;&gt;"",'Your debts'!$F$6&lt;&gt;"",'Your debts'!$F$14&lt;'Your debts'!$F$6),AV91,0)+IF(AND('Your debts'!$F$15&lt;&gt;"",'Your debts'!$F$6&lt;&gt;"",'Your debts'!$F$15&lt;'Your debts'!$F$6),BA91,0)))))</f>
        <v/>
      </c>
      <c r="J91" s="33">
        <f>H91-I91</f>
        <v/>
      </c>
      <c r="K91" s="33">
        <f>IF(O90&lt;=0,0,ROUND(O90*(1+'Your debts'!$D$7/1200),2))</f>
        <v/>
      </c>
      <c r="L91" s="33">
        <f>IF(K91&lt;=0,0,MIN('Your debts'!$E$7,K91))</f>
        <v/>
      </c>
      <c r="M91" s="33">
        <f>K91-L91</f>
        <v/>
      </c>
      <c r="N91" s="33">
        <f>IF('Your debts'!$F$7="",0,MIN(M91,MAX(0,MAX(0,'Your debts'!$C$19-(G91+L91+Q91+V91+AA91+AF91+AK91+AP91+AU91+AZ91))-(IF(AND('Your debts'!$F$6&lt;&gt;"",'Your debts'!$F$7&lt;&gt;"",'Your debts'!$F$6&lt;'Your debts'!$F$7),H91,0)+IF(AND('Your debts'!$F$8&lt;&gt;"",'Your debts'!$F$7&lt;&gt;"",'Your debts'!$F$8&lt;'Your debts'!$F$7),R91,0)+IF(AND('Your debts'!$F$9&lt;&gt;"",'Your debts'!$F$7&lt;&gt;"",'Your debts'!$F$9&lt;'Your debts'!$F$7),W91,0)+IF(AND('Your debts'!$F$10&lt;&gt;"",'Your debts'!$F$7&lt;&gt;"",'Your debts'!$F$10&lt;'Your debts'!$F$7),AB91,0)+IF(AND('Your debts'!$F$11&lt;&gt;"",'Your debts'!$F$7&lt;&gt;"",'Your debts'!$F$11&lt;'Your debts'!$F$7),AG91,0)+IF(AND('Your debts'!$F$12&lt;&gt;"",'Your debts'!$F$7&lt;&gt;"",'Your debts'!$F$12&lt;'Your debts'!$F$7),AL91,0)+IF(AND('Your debts'!$F$13&lt;&gt;"",'Your debts'!$F$7&lt;&gt;"",'Your debts'!$F$13&lt;'Your debts'!$F$7),AQ91,0)+IF(AND('Your debts'!$F$14&lt;&gt;"",'Your debts'!$F$7&lt;&gt;"",'Your debts'!$F$14&lt;'Your debts'!$F$7),AV91,0)+IF(AND('Your debts'!$F$15&lt;&gt;"",'Your debts'!$F$7&lt;&gt;"",'Your debts'!$F$15&lt;'Your debts'!$F$7),BA91,0)))))</f>
        <v/>
      </c>
      <c r="O91" s="33">
        <f>M91-N91</f>
        <v/>
      </c>
      <c r="P91" s="33">
        <f>IF(T90&lt;=0,0,ROUND(T90*(1+'Your debts'!$D$8/1200),2))</f>
        <v/>
      </c>
      <c r="Q91" s="33">
        <f>IF(P91&lt;=0,0,MIN('Your debts'!$E$8,P91))</f>
        <v/>
      </c>
      <c r="R91" s="33">
        <f>P91-Q91</f>
        <v/>
      </c>
      <c r="S91" s="33">
        <f>IF('Your debts'!$F$8="",0,MIN(R91,MAX(0,MAX(0,'Your debts'!$C$19-(G91+L91+Q91+V91+AA91+AF91+AK91+AP91+AU91+AZ91))-(IF(AND('Your debts'!$F$6&lt;&gt;"",'Your debts'!$F$8&lt;&gt;"",'Your debts'!$F$6&lt;'Your debts'!$F$8),H91,0)+IF(AND('Your debts'!$F$7&lt;&gt;"",'Your debts'!$F$8&lt;&gt;"",'Your debts'!$F$7&lt;'Your debts'!$F$8),M91,0)+IF(AND('Your debts'!$F$9&lt;&gt;"",'Your debts'!$F$8&lt;&gt;"",'Your debts'!$F$9&lt;'Your debts'!$F$8),W91,0)+IF(AND('Your debts'!$F$10&lt;&gt;"",'Your debts'!$F$8&lt;&gt;"",'Your debts'!$F$10&lt;'Your debts'!$F$8),AB91,0)+IF(AND('Your debts'!$F$11&lt;&gt;"",'Your debts'!$F$8&lt;&gt;"",'Your debts'!$F$11&lt;'Your debts'!$F$8),AG91,0)+IF(AND('Your debts'!$F$12&lt;&gt;"",'Your debts'!$F$8&lt;&gt;"",'Your debts'!$F$12&lt;'Your debts'!$F$8),AL91,0)+IF(AND('Your debts'!$F$13&lt;&gt;"",'Your debts'!$F$8&lt;&gt;"",'Your debts'!$F$13&lt;'Your debts'!$F$8),AQ91,0)+IF(AND('Your debts'!$F$14&lt;&gt;"",'Your debts'!$F$8&lt;&gt;"",'Your debts'!$F$14&lt;'Your debts'!$F$8),AV91,0)+IF(AND('Your debts'!$F$15&lt;&gt;"",'Your debts'!$F$8&lt;&gt;"",'Your debts'!$F$15&lt;'Your debts'!$F$8),BA91,0)))))</f>
        <v/>
      </c>
      <c r="T91" s="33">
        <f>R91-S91</f>
        <v/>
      </c>
      <c r="U91" s="33">
        <f>IF(Y90&lt;=0,0,ROUND(Y90*(1+'Your debts'!$D$9/1200),2))</f>
        <v/>
      </c>
      <c r="V91" s="33">
        <f>IF(U91&lt;=0,0,MIN('Your debts'!$E$9,U91))</f>
        <v/>
      </c>
      <c r="W91" s="33">
        <f>U91-V91</f>
        <v/>
      </c>
      <c r="X91" s="33">
        <f>IF('Your debts'!$F$9="",0,MIN(W91,MAX(0,MAX(0,'Your debts'!$C$19-(G91+L91+Q91+V91+AA91+AF91+AK91+AP91+AU91+AZ91))-(IF(AND('Your debts'!$F$6&lt;&gt;"",'Your debts'!$F$9&lt;&gt;"",'Your debts'!$F$6&lt;'Your debts'!$F$9),H91,0)+IF(AND('Your debts'!$F$7&lt;&gt;"",'Your debts'!$F$9&lt;&gt;"",'Your debts'!$F$7&lt;'Your debts'!$F$9),M91,0)+IF(AND('Your debts'!$F$8&lt;&gt;"",'Your debts'!$F$9&lt;&gt;"",'Your debts'!$F$8&lt;'Your debts'!$F$9),R91,0)+IF(AND('Your debts'!$F$10&lt;&gt;"",'Your debts'!$F$9&lt;&gt;"",'Your debts'!$F$10&lt;'Your debts'!$F$9),AB91,0)+IF(AND('Your debts'!$F$11&lt;&gt;"",'Your debts'!$F$9&lt;&gt;"",'Your debts'!$F$11&lt;'Your debts'!$F$9),AG91,0)+IF(AND('Your debts'!$F$12&lt;&gt;"",'Your debts'!$F$9&lt;&gt;"",'Your debts'!$F$12&lt;'Your debts'!$F$9),AL91,0)+IF(AND('Your debts'!$F$13&lt;&gt;"",'Your debts'!$F$9&lt;&gt;"",'Your debts'!$F$13&lt;'Your debts'!$F$9),AQ91,0)+IF(AND('Your debts'!$F$14&lt;&gt;"",'Your debts'!$F$9&lt;&gt;"",'Your debts'!$F$14&lt;'Your debts'!$F$9),AV91,0)+IF(AND('Your debts'!$F$15&lt;&gt;"",'Your debts'!$F$9&lt;&gt;"",'Your debts'!$F$15&lt;'Your debts'!$F$9),BA91,0)))))</f>
        <v/>
      </c>
      <c r="Y91" s="33">
        <f>W91-X91</f>
        <v/>
      </c>
      <c r="Z91" s="33">
        <f>IF(AD90&lt;=0,0,ROUND(AD90*(1+'Your debts'!$D$10/1200),2))</f>
        <v/>
      </c>
      <c r="AA91" s="33">
        <f>IF(Z91&lt;=0,0,MIN('Your debts'!$E$10,Z91))</f>
        <v/>
      </c>
      <c r="AB91" s="33">
        <f>Z91-AA91</f>
        <v/>
      </c>
      <c r="AC91" s="33">
        <f>IF('Your debts'!$F$10="",0,MIN(AB91,MAX(0,MAX(0,'Your debts'!$C$19-(G91+L91+Q91+V91+AA91+AF91+AK91+AP91+AU91+AZ91))-(IF(AND('Your debts'!$F$6&lt;&gt;"",'Your debts'!$F$10&lt;&gt;"",'Your debts'!$F$6&lt;'Your debts'!$F$10),H91,0)+IF(AND('Your debts'!$F$7&lt;&gt;"",'Your debts'!$F$10&lt;&gt;"",'Your debts'!$F$7&lt;'Your debts'!$F$10),M91,0)+IF(AND('Your debts'!$F$8&lt;&gt;"",'Your debts'!$F$10&lt;&gt;"",'Your debts'!$F$8&lt;'Your debts'!$F$10),R91,0)+IF(AND('Your debts'!$F$9&lt;&gt;"",'Your debts'!$F$10&lt;&gt;"",'Your debts'!$F$9&lt;'Your debts'!$F$10),W91,0)+IF(AND('Your debts'!$F$11&lt;&gt;"",'Your debts'!$F$10&lt;&gt;"",'Your debts'!$F$11&lt;'Your debts'!$F$10),AG91,0)+IF(AND('Your debts'!$F$12&lt;&gt;"",'Your debts'!$F$10&lt;&gt;"",'Your debts'!$F$12&lt;'Your debts'!$F$10),AL91,0)+IF(AND('Your debts'!$F$13&lt;&gt;"",'Your debts'!$F$10&lt;&gt;"",'Your debts'!$F$13&lt;'Your debts'!$F$10),AQ91,0)+IF(AND('Your debts'!$F$14&lt;&gt;"",'Your debts'!$F$10&lt;&gt;"",'Your debts'!$F$14&lt;'Your debts'!$F$10),AV91,0)+IF(AND('Your debts'!$F$15&lt;&gt;"",'Your debts'!$F$10&lt;&gt;"",'Your debts'!$F$15&lt;'Your debts'!$F$10),BA91,0)))))</f>
        <v/>
      </c>
      <c r="AD91" s="33">
        <f>AB91-AC91</f>
        <v/>
      </c>
      <c r="AE91" s="33">
        <f>IF(AI90&lt;=0,0,ROUND(AI90*(1+'Your debts'!$D$11/1200),2))</f>
        <v/>
      </c>
      <c r="AF91" s="33">
        <f>IF(AE91&lt;=0,0,MIN('Your debts'!$E$11,AE91))</f>
        <v/>
      </c>
      <c r="AG91" s="33">
        <f>AE91-AF91</f>
        <v/>
      </c>
      <c r="AH91" s="33">
        <f>IF('Your debts'!$F$11="",0,MIN(AG91,MAX(0,MAX(0,'Your debts'!$C$19-(G91+L91+Q91+V91+AA91+AF91+AK91+AP91+AU91+AZ91))-(IF(AND('Your debts'!$F$6&lt;&gt;"",'Your debts'!$F$11&lt;&gt;"",'Your debts'!$F$6&lt;'Your debts'!$F$11),H91,0)+IF(AND('Your debts'!$F$7&lt;&gt;"",'Your debts'!$F$11&lt;&gt;"",'Your debts'!$F$7&lt;'Your debts'!$F$11),M91,0)+IF(AND('Your debts'!$F$8&lt;&gt;"",'Your debts'!$F$11&lt;&gt;"",'Your debts'!$F$8&lt;'Your debts'!$F$11),R91,0)+IF(AND('Your debts'!$F$9&lt;&gt;"",'Your debts'!$F$11&lt;&gt;"",'Your debts'!$F$9&lt;'Your debts'!$F$11),W91,0)+IF(AND('Your debts'!$F$10&lt;&gt;"",'Your debts'!$F$11&lt;&gt;"",'Your debts'!$F$10&lt;'Your debts'!$F$11),AB91,0)+IF(AND('Your debts'!$F$12&lt;&gt;"",'Your debts'!$F$11&lt;&gt;"",'Your debts'!$F$12&lt;'Your debts'!$F$11),AL91,0)+IF(AND('Your debts'!$F$13&lt;&gt;"",'Your debts'!$F$11&lt;&gt;"",'Your debts'!$F$13&lt;'Your debts'!$F$11),AQ91,0)+IF(AND('Your debts'!$F$14&lt;&gt;"",'Your debts'!$F$11&lt;&gt;"",'Your debts'!$F$14&lt;'Your debts'!$F$11),AV91,0)+IF(AND('Your debts'!$F$15&lt;&gt;"",'Your debts'!$F$11&lt;&gt;"",'Your debts'!$F$15&lt;'Your debts'!$F$11),BA91,0)))))</f>
        <v/>
      </c>
      <c r="AI91" s="33">
        <f>AG91-AH91</f>
        <v/>
      </c>
      <c r="AJ91" s="33">
        <f>IF(AN90&lt;=0,0,ROUND(AN90*(1+'Your debts'!$D$12/1200),2))</f>
        <v/>
      </c>
      <c r="AK91" s="33">
        <f>IF(AJ91&lt;=0,0,MIN('Your debts'!$E$12,AJ91))</f>
        <v/>
      </c>
      <c r="AL91" s="33">
        <f>AJ91-AK91</f>
        <v/>
      </c>
      <c r="AM91" s="33">
        <f>IF('Your debts'!$F$12="",0,MIN(AL91,MAX(0,MAX(0,'Your debts'!$C$19-(G91+L91+Q91+V91+AA91+AF91+AK91+AP91+AU91+AZ91))-(IF(AND('Your debts'!$F$6&lt;&gt;"",'Your debts'!$F$12&lt;&gt;"",'Your debts'!$F$6&lt;'Your debts'!$F$12),H91,0)+IF(AND('Your debts'!$F$7&lt;&gt;"",'Your debts'!$F$12&lt;&gt;"",'Your debts'!$F$7&lt;'Your debts'!$F$12),M91,0)+IF(AND('Your debts'!$F$8&lt;&gt;"",'Your debts'!$F$12&lt;&gt;"",'Your debts'!$F$8&lt;'Your debts'!$F$12),R91,0)+IF(AND('Your debts'!$F$9&lt;&gt;"",'Your debts'!$F$12&lt;&gt;"",'Your debts'!$F$9&lt;'Your debts'!$F$12),W91,0)+IF(AND('Your debts'!$F$10&lt;&gt;"",'Your debts'!$F$12&lt;&gt;"",'Your debts'!$F$10&lt;'Your debts'!$F$12),AB91,0)+IF(AND('Your debts'!$F$11&lt;&gt;"",'Your debts'!$F$12&lt;&gt;"",'Your debts'!$F$11&lt;'Your debts'!$F$12),AG91,0)+IF(AND('Your debts'!$F$13&lt;&gt;"",'Your debts'!$F$12&lt;&gt;"",'Your debts'!$F$13&lt;'Your debts'!$F$12),AQ91,0)+IF(AND('Your debts'!$F$14&lt;&gt;"",'Your debts'!$F$12&lt;&gt;"",'Your debts'!$F$14&lt;'Your debts'!$F$12),AV91,0)+IF(AND('Your debts'!$F$15&lt;&gt;"",'Your debts'!$F$12&lt;&gt;"",'Your debts'!$F$15&lt;'Your debts'!$F$12),BA91,0)))))</f>
        <v/>
      </c>
      <c r="AN91" s="33">
        <f>AL91-AM91</f>
        <v/>
      </c>
      <c r="AO91" s="33">
        <f>IF(AS90&lt;=0,0,ROUND(AS90*(1+'Your debts'!$D$13/1200),2))</f>
        <v/>
      </c>
      <c r="AP91" s="33">
        <f>IF(AO91&lt;=0,0,MIN('Your debts'!$E$13,AO91))</f>
        <v/>
      </c>
      <c r="AQ91" s="33">
        <f>AO91-AP91</f>
        <v/>
      </c>
      <c r="AR91" s="33">
        <f>IF('Your debts'!$F$13="",0,MIN(AQ91,MAX(0,MAX(0,'Your debts'!$C$19-(G91+L91+Q91+V91+AA91+AF91+AK91+AP91+AU91+AZ91))-(IF(AND('Your debts'!$F$6&lt;&gt;"",'Your debts'!$F$13&lt;&gt;"",'Your debts'!$F$6&lt;'Your debts'!$F$13),H91,0)+IF(AND('Your debts'!$F$7&lt;&gt;"",'Your debts'!$F$13&lt;&gt;"",'Your debts'!$F$7&lt;'Your debts'!$F$13),M91,0)+IF(AND('Your debts'!$F$8&lt;&gt;"",'Your debts'!$F$13&lt;&gt;"",'Your debts'!$F$8&lt;'Your debts'!$F$13),R91,0)+IF(AND('Your debts'!$F$9&lt;&gt;"",'Your debts'!$F$13&lt;&gt;"",'Your debts'!$F$9&lt;'Your debts'!$F$13),W91,0)+IF(AND('Your debts'!$F$10&lt;&gt;"",'Your debts'!$F$13&lt;&gt;"",'Your debts'!$F$10&lt;'Your debts'!$F$13),AB91,0)+IF(AND('Your debts'!$F$11&lt;&gt;"",'Your debts'!$F$13&lt;&gt;"",'Your debts'!$F$11&lt;'Your debts'!$F$13),AG91,0)+IF(AND('Your debts'!$F$12&lt;&gt;"",'Your debts'!$F$13&lt;&gt;"",'Your debts'!$F$12&lt;'Your debts'!$F$13),AL91,0)+IF(AND('Your debts'!$F$14&lt;&gt;"",'Your debts'!$F$13&lt;&gt;"",'Your debts'!$F$14&lt;'Your debts'!$F$13),AV91,0)+IF(AND('Your debts'!$F$15&lt;&gt;"",'Your debts'!$F$13&lt;&gt;"",'Your debts'!$F$15&lt;'Your debts'!$F$13),BA91,0)))))</f>
        <v/>
      </c>
      <c r="AS91" s="33">
        <f>AQ91-AR91</f>
        <v/>
      </c>
      <c r="AT91" s="33">
        <f>IF(AX90&lt;=0,0,ROUND(AX90*(1+'Your debts'!$D$14/1200),2))</f>
        <v/>
      </c>
      <c r="AU91" s="33">
        <f>IF(AT91&lt;=0,0,MIN('Your debts'!$E$14,AT91))</f>
        <v/>
      </c>
      <c r="AV91" s="33">
        <f>AT91-AU91</f>
        <v/>
      </c>
      <c r="AW91" s="33">
        <f>IF('Your debts'!$F$14="",0,MIN(AV91,MAX(0,MAX(0,'Your debts'!$C$19-(G91+L91+Q91+V91+AA91+AF91+AK91+AP91+AU91+AZ91))-(IF(AND('Your debts'!$F$6&lt;&gt;"",'Your debts'!$F$14&lt;&gt;"",'Your debts'!$F$6&lt;'Your debts'!$F$14),H91,0)+IF(AND('Your debts'!$F$7&lt;&gt;"",'Your debts'!$F$14&lt;&gt;"",'Your debts'!$F$7&lt;'Your debts'!$F$14),M91,0)+IF(AND('Your debts'!$F$8&lt;&gt;"",'Your debts'!$F$14&lt;&gt;"",'Your debts'!$F$8&lt;'Your debts'!$F$14),R91,0)+IF(AND('Your debts'!$F$9&lt;&gt;"",'Your debts'!$F$14&lt;&gt;"",'Your debts'!$F$9&lt;'Your debts'!$F$14),W91,0)+IF(AND('Your debts'!$F$10&lt;&gt;"",'Your debts'!$F$14&lt;&gt;"",'Your debts'!$F$10&lt;'Your debts'!$F$14),AB91,0)+IF(AND('Your debts'!$F$11&lt;&gt;"",'Your debts'!$F$14&lt;&gt;"",'Your debts'!$F$11&lt;'Your debts'!$F$14),AG91,0)+IF(AND('Your debts'!$F$12&lt;&gt;"",'Your debts'!$F$14&lt;&gt;"",'Your debts'!$F$12&lt;'Your debts'!$F$14),AL91,0)+IF(AND('Your debts'!$F$13&lt;&gt;"",'Your debts'!$F$14&lt;&gt;"",'Your debts'!$F$13&lt;'Your debts'!$F$14),AQ91,0)+IF(AND('Your debts'!$F$15&lt;&gt;"",'Your debts'!$F$14&lt;&gt;"",'Your debts'!$F$15&lt;'Your debts'!$F$14),BA91,0)))))</f>
        <v/>
      </c>
      <c r="AX91" s="33">
        <f>AV91-AW91</f>
        <v/>
      </c>
      <c r="AY91" s="33">
        <f>IF(BC90&lt;=0,0,ROUND(BC90*(1+'Your debts'!$D$15/1200),2))</f>
        <v/>
      </c>
      <c r="AZ91" s="33">
        <f>IF(AY91&lt;=0,0,MIN('Your debts'!$E$15,AY91))</f>
        <v/>
      </c>
      <c r="BA91" s="33">
        <f>AY91-AZ91</f>
        <v/>
      </c>
      <c r="BB91" s="33">
        <f>IF('Your debts'!$F$15="",0,MIN(BA91,MAX(0,MAX(0,'Your debts'!$C$19-(G91+L91+Q91+V91+AA91+AF91+AK91+AP91+AU91+AZ91))-(IF(AND('Your debts'!$F$6&lt;&gt;"",'Your debts'!$F$15&lt;&gt;"",'Your debts'!$F$6&lt;'Your debts'!$F$15),H91,0)+IF(AND('Your debts'!$F$7&lt;&gt;"",'Your debts'!$F$15&lt;&gt;"",'Your debts'!$F$7&lt;'Your debts'!$F$15),M91,0)+IF(AND('Your debts'!$F$8&lt;&gt;"",'Your debts'!$F$15&lt;&gt;"",'Your debts'!$F$8&lt;'Your debts'!$F$15),R91,0)+IF(AND('Your debts'!$F$9&lt;&gt;"",'Your debts'!$F$15&lt;&gt;"",'Your debts'!$F$9&lt;'Your debts'!$F$15),W91,0)+IF(AND('Your debts'!$F$10&lt;&gt;"",'Your debts'!$F$15&lt;&gt;"",'Your debts'!$F$10&lt;'Your debts'!$F$15),AB91,0)+IF(AND('Your debts'!$F$11&lt;&gt;"",'Your debts'!$F$15&lt;&gt;"",'Your debts'!$F$11&lt;'Your debts'!$F$15),AG91,0)+IF(AND('Your debts'!$F$12&lt;&gt;"",'Your debts'!$F$15&lt;&gt;"",'Your debts'!$F$12&lt;'Your debts'!$F$15),AL91,0)+IF(AND('Your debts'!$F$13&lt;&gt;"",'Your debts'!$F$15&lt;&gt;"",'Your debts'!$F$13&lt;'Your debts'!$F$15),AQ91,0)+IF(AND('Your debts'!$F$14&lt;&gt;"",'Your debts'!$F$15&lt;&gt;"",'Your debts'!$F$14&lt;'Your debts'!$F$15),AV91,0)))))</f>
        <v/>
      </c>
      <c r="BC91" s="33">
        <f>BA91-BB91</f>
        <v/>
      </c>
    </row>
    <row r="92">
      <c r="A92" s="30" t="n">
        <v>77</v>
      </c>
      <c r="B92" s="31">
        <f>EDATE($B$15,77)</f>
        <v/>
      </c>
      <c r="C92" s="32">
        <f>IF(J91&lt;=0,0,F92-J91)+IF(O91&lt;=0,0,K92-O91)+IF(T91&lt;=0,0,P92-T91)+IF(Y91&lt;=0,0,U92-Y91)+IF(AD91&lt;=0,0,Z92-AD91)+IF(AI91&lt;=0,0,AE92-AI91)+IF(AN91&lt;=0,0,AJ92-AN91)+IF(AS91&lt;=0,0,AO92-AS91)+IF(AX91&lt;=0,0,AT92-AX91)+IF(BC91&lt;=0,0,AY92-BC91)</f>
        <v/>
      </c>
      <c r="D92" s="32">
        <f>G92+I92+L92+N92+Q92+S92+V92+X92+AA92+AC92+AF92+AH92+AK92+AM92+AP92+AR92+AU92+AW92+AZ92+BB92</f>
        <v/>
      </c>
      <c r="E92" s="32">
        <f>J92+O92+T92+Y92+AD92+AI92+AN92+AS92+AX92+BC92</f>
        <v/>
      </c>
      <c r="F92" s="33">
        <f>IF(J91&lt;=0,0,ROUND(J91*(1+'Your debts'!$D$6/1200),2))</f>
        <v/>
      </c>
      <c r="G92" s="33">
        <f>IF(F92&lt;=0,0,MIN('Your debts'!$E$6,F92))</f>
        <v/>
      </c>
      <c r="H92" s="33">
        <f>F92-G92</f>
        <v/>
      </c>
      <c r="I92" s="33">
        <f>IF('Your debts'!$F$6="",0,MIN(H92,MAX(0,MAX(0,'Your debts'!$C$19-(G92+L92+Q92+V92+AA92+AF92+AK92+AP92+AU92+AZ92))-(IF(AND('Your debts'!$F$7&lt;&gt;"",'Your debts'!$F$6&lt;&gt;"",'Your debts'!$F$7&lt;'Your debts'!$F$6),M92,0)+IF(AND('Your debts'!$F$8&lt;&gt;"",'Your debts'!$F$6&lt;&gt;"",'Your debts'!$F$8&lt;'Your debts'!$F$6),R92,0)+IF(AND('Your debts'!$F$9&lt;&gt;"",'Your debts'!$F$6&lt;&gt;"",'Your debts'!$F$9&lt;'Your debts'!$F$6),W92,0)+IF(AND('Your debts'!$F$10&lt;&gt;"",'Your debts'!$F$6&lt;&gt;"",'Your debts'!$F$10&lt;'Your debts'!$F$6),AB92,0)+IF(AND('Your debts'!$F$11&lt;&gt;"",'Your debts'!$F$6&lt;&gt;"",'Your debts'!$F$11&lt;'Your debts'!$F$6),AG92,0)+IF(AND('Your debts'!$F$12&lt;&gt;"",'Your debts'!$F$6&lt;&gt;"",'Your debts'!$F$12&lt;'Your debts'!$F$6),AL92,0)+IF(AND('Your debts'!$F$13&lt;&gt;"",'Your debts'!$F$6&lt;&gt;"",'Your debts'!$F$13&lt;'Your debts'!$F$6),AQ92,0)+IF(AND('Your debts'!$F$14&lt;&gt;"",'Your debts'!$F$6&lt;&gt;"",'Your debts'!$F$14&lt;'Your debts'!$F$6),AV92,0)+IF(AND('Your debts'!$F$15&lt;&gt;"",'Your debts'!$F$6&lt;&gt;"",'Your debts'!$F$15&lt;'Your debts'!$F$6),BA92,0)))))</f>
        <v/>
      </c>
      <c r="J92" s="33">
        <f>H92-I92</f>
        <v/>
      </c>
      <c r="K92" s="33">
        <f>IF(O91&lt;=0,0,ROUND(O91*(1+'Your debts'!$D$7/1200),2))</f>
        <v/>
      </c>
      <c r="L92" s="33">
        <f>IF(K92&lt;=0,0,MIN('Your debts'!$E$7,K92))</f>
        <v/>
      </c>
      <c r="M92" s="33">
        <f>K92-L92</f>
        <v/>
      </c>
      <c r="N92" s="33">
        <f>IF('Your debts'!$F$7="",0,MIN(M92,MAX(0,MAX(0,'Your debts'!$C$19-(G92+L92+Q92+V92+AA92+AF92+AK92+AP92+AU92+AZ92))-(IF(AND('Your debts'!$F$6&lt;&gt;"",'Your debts'!$F$7&lt;&gt;"",'Your debts'!$F$6&lt;'Your debts'!$F$7),H92,0)+IF(AND('Your debts'!$F$8&lt;&gt;"",'Your debts'!$F$7&lt;&gt;"",'Your debts'!$F$8&lt;'Your debts'!$F$7),R92,0)+IF(AND('Your debts'!$F$9&lt;&gt;"",'Your debts'!$F$7&lt;&gt;"",'Your debts'!$F$9&lt;'Your debts'!$F$7),W92,0)+IF(AND('Your debts'!$F$10&lt;&gt;"",'Your debts'!$F$7&lt;&gt;"",'Your debts'!$F$10&lt;'Your debts'!$F$7),AB92,0)+IF(AND('Your debts'!$F$11&lt;&gt;"",'Your debts'!$F$7&lt;&gt;"",'Your debts'!$F$11&lt;'Your debts'!$F$7),AG92,0)+IF(AND('Your debts'!$F$12&lt;&gt;"",'Your debts'!$F$7&lt;&gt;"",'Your debts'!$F$12&lt;'Your debts'!$F$7),AL92,0)+IF(AND('Your debts'!$F$13&lt;&gt;"",'Your debts'!$F$7&lt;&gt;"",'Your debts'!$F$13&lt;'Your debts'!$F$7),AQ92,0)+IF(AND('Your debts'!$F$14&lt;&gt;"",'Your debts'!$F$7&lt;&gt;"",'Your debts'!$F$14&lt;'Your debts'!$F$7),AV92,0)+IF(AND('Your debts'!$F$15&lt;&gt;"",'Your debts'!$F$7&lt;&gt;"",'Your debts'!$F$15&lt;'Your debts'!$F$7),BA92,0)))))</f>
        <v/>
      </c>
      <c r="O92" s="33">
        <f>M92-N92</f>
        <v/>
      </c>
      <c r="P92" s="33">
        <f>IF(T91&lt;=0,0,ROUND(T91*(1+'Your debts'!$D$8/1200),2))</f>
        <v/>
      </c>
      <c r="Q92" s="33">
        <f>IF(P92&lt;=0,0,MIN('Your debts'!$E$8,P92))</f>
        <v/>
      </c>
      <c r="R92" s="33">
        <f>P92-Q92</f>
        <v/>
      </c>
      <c r="S92" s="33">
        <f>IF('Your debts'!$F$8="",0,MIN(R92,MAX(0,MAX(0,'Your debts'!$C$19-(G92+L92+Q92+V92+AA92+AF92+AK92+AP92+AU92+AZ92))-(IF(AND('Your debts'!$F$6&lt;&gt;"",'Your debts'!$F$8&lt;&gt;"",'Your debts'!$F$6&lt;'Your debts'!$F$8),H92,0)+IF(AND('Your debts'!$F$7&lt;&gt;"",'Your debts'!$F$8&lt;&gt;"",'Your debts'!$F$7&lt;'Your debts'!$F$8),M92,0)+IF(AND('Your debts'!$F$9&lt;&gt;"",'Your debts'!$F$8&lt;&gt;"",'Your debts'!$F$9&lt;'Your debts'!$F$8),W92,0)+IF(AND('Your debts'!$F$10&lt;&gt;"",'Your debts'!$F$8&lt;&gt;"",'Your debts'!$F$10&lt;'Your debts'!$F$8),AB92,0)+IF(AND('Your debts'!$F$11&lt;&gt;"",'Your debts'!$F$8&lt;&gt;"",'Your debts'!$F$11&lt;'Your debts'!$F$8),AG92,0)+IF(AND('Your debts'!$F$12&lt;&gt;"",'Your debts'!$F$8&lt;&gt;"",'Your debts'!$F$12&lt;'Your debts'!$F$8),AL92,0)+IF(AND('Your debts'!$F$13&lt;&gt;"",'Your debts'!$F$8&lt;&gt;"",'Your debts'!$F$13&lt;'Your debts'!$F$8),AQ92,0)+IF(AND('Your debts'!$F$14&lt;&gt;"",'Your debts'!$F$8&lt;&gt;"",'Your debts'!$F$14&lt;'Your debts'!$F$8),AV92,0)+IF(AND('Your debts'!$F$15&lt;&gt;"",'Your debts'!$F$8&lt;&gt;"",'Your debts'!$F$15&lt;'Your debts'!$F$8),BA92,0)))))</f>
        <v/>
      </c>
      <c r="T92" s="33">
        <f>R92-S92</f>
        <v/>
      </c>
      <c r="U92" s="33">
        <f>IF(Y91&lt;=0,0,ROUND(Y91*(1+'Your debts'!$D$9/1200),2))</f>
        <v/>
      </c>
      <c r="V92" s="33">
        <f>IF(U92&lt;=0,0,MIN('Your debts'!$E$9,U92))</f>
        <v/>
      </c>
      <c r="W92" s="33">
        <f>U92-V92</f>
        <v/>
      </c>
      <c r="X92" s="33">
        <f>IF('Your debts'!$F$9="",0,MIN(W92,MAX(0,MAX(0,'Your debts'!$C$19-(G92+L92+Q92+V92+AA92+AF92+AK92+AP92+AU92+AZ92))-(IF(AND('Your debts'!$F$6&lt;&gt;"",'Your debts'!$F$9&lt;&gt;"",'Your debts'!$F$6&lt;'Your debts'!$F$9),H92,0)+IF(AND('Your debts'!$F$7&lt;&gt;"",'Your debts'!$F$9&lt;&gt;"",'Your debts'!$F$7&lt;'Your debts'!$F$9),M92,0)+IF(AND('Your debts'!$F$8&lt;&gt;"",'Your debts'!$F$9&lt;&gt;"",'Your debts'!$F$8&lt;'Your debts'!$F$9),R92,0)+IF(AND('Your debts'!$F$10&lt;&gt;"",'Your debts'!$F$9&lt;&gt;"",'Your debts'!$F$10&lt;'Your debts'!$F$9),AB92,0)+IF(AND('Your debts'!$F$11&lt;&gt;"",'Your debts'!$F$9&lt;&gt;"",'Your debts'!$F$11&lt;'Your debts'!$F$9),AG92,0)+IF(AND('Your debts'!$F$12&lt;&gt;"",'Your debts'!$F$9&lt;&gt;"",'Your debts'!$F$12&lt;'Your debts'!$F$9),AL92,0)+IF(AND('Your debts'!$F$13&lt;&gt;"",'Your debts'!$F$9&lt;&gt;"",'Your debts'!$F$13&lt;'Your debts'!$F$9),AQ92,0)+IF(AND('Your debts'!$F$14&lt;&gt;"",'Your debts'!$F$9&lt;&gt;"",'Your debts'!$F$14&lt;'Your debts'!$F$9),AV92,0)+IF(AND('Your debts'!$F$15&lt;&gt;"",'Your debts'!$F$9&lt;&gt;"",'Your debts'!$F$15&lt;'Your debts'!$F$9),BA92,0)))))</f>
        <v/>
      </c>
      <c r="Y92" s="33">
        <f>W92-X92</f>
        <v/>
      </c>
      <c r="Z92" s="33">
        <f>IF(AD91&lt;=0,0,ROUND(AD91*(1+'Your debts'!$D$10/1200),2))</f>
        <v/>
      </c>
      <c r="AA92" s="33">
        <f>IF(Z92&lt;=0,0,MIN('Your debts'!$E$10,Z92))</f>
        <v/>
      </c>
      <c r="AB92" s="33">
        <f>Z92-AA92</f>
        <v/>
      </c>
      <c r="AC92" s="33">
        <f>IF('Your debts'!$F$10="",0,MIN(AB92,MAX(0,MAX(0,'Your debts'!$C$19-(G92+L92+Q92+V92+AA92+AF92+AK92+AP92+AU92+AZ92))-(IF(AND('Your debts'!$F$6&lt;&gt;"",'Your debts'!$F$10&lt;&gt;"",'Your debts'!$F$6&lt;'Your debts'!$F$10),H92,0)+IF(AND('Your debts'!$F$7&lt;&gt;"",'Your debts'!$F$10&lt;&gt;"",'Your debts'!$F$7&lt;'Your debts'!$F$10),M92,0)+IF(AND('Your debts'!$F$8&lt;&gt;"",'Your debts'!$F$10&lt;&gt;"",'Your debts'!$F$8&lt;'Your debts'!$F$10),R92,0)+IF(AND('Your debts'!$F$9&lt;&gt;"",'Your debts'!$F$10&lt;&gt;"",'Your debts'!$F$9&lt;'Your debts'!$F$10),W92,0)+IF(AND('Your debts'!$F$11&lt;&gt;"",'Your debts'!$F$10&lt;&gt;"",'Your debts'!$F$11&lt;'Your debts'!$F$10),AG92,0)+IF(AND('Your debts'!$F$12&lt;&gt;"",'Your debts'!$F$10&lt;&gt;"",'Your debts'!$F$12&lt;'Your debts'!$F$10),AL92,0)+IF(AND('Your debts'!$F$13&lt;&gt;"",'Your debts'!$F$10&lt;&gt;"",'Your debts'!$F$13&lt;'Your debts'!$F$10),AQ92,0)+IF(AND('Your debts'!$F$14&lt;&gt;"",'Your debts'!$F$10&lt;&gt;"",'Your debts'!$F$14&lt;'Your debts'!$F$10),AV92,0)+IF(AND('Your debts'!$F$15&lt;&gt;"",'Your debts'!$F$10&lt;&gt;"",'Your debts'!$F$15&lt;'Your debts'!$F$10),BA92,0)))))</f>
        <v/>
      </c>
      <c r="AD92" s="33">
        <f>AB92-AC92</f>
        <v/>
      </c>
      <c r="AE92" s="33">
        <f>IF(AI91&lt;=0,0,ROUND(AI91*(1+'Your debts'!$D$11/1200),2))</f>
        <v/>
      </c>
      <c r="AF92" s="33">
        <f>IF(AE92&lt;=0,0,MIN('Your debts'!$E$11,AE92))</f>
        <v/>
      </c>
      <c r="AG92" s="33">
        <f>AE92-AF92</f>
        <v/>
      </c>
      <c r="AH92" s="33">
        <f>IF('Your debts'!$F$11="",0,MIN(AG92,MAX(0,MAX(0,'Your debts'!$C$19-(G92+L92+Q92+V92+AA92+AF92+AK92+AP92+AU92+AZ92))-(IF(AND('Your debts'!$F$6&lt;&gt;"",'Your debts'!$F$11&lt;&gt;"",'Your debts'!$F$6&lt;'Your debts'!$F$11),H92,0)+IF(AND('Your debts'!$F$7&lt;&gt;"",'Your debts'!$F$11&lt;&gt;"",'Your debts'!$F$7&lt;'Your debts'!$F$11),M92,0)+IF(AND('Your debts'!$F$8&lt;&gt;"",'Your debts'!$F$11&lt;&gt;"",'Your debts'!$F$8&lt;'Your debts'!$F$11),R92,0)+IF(AND('Your debts'!$F$9&lt;&gt;"",'Your debts'!$F$11&lt;&gt;"",'Your debts'!$F$9&lt;'Your debts'!$F$11),W92,0)+IF(AND('Your debts'!$F$10&lt;&gt;"",'Your debts'!$F$11&lt;&gt;"",'Your debts'!$F$10&lt;'Your debts'!$F$11),AB92,0)+IF(AND('Your debts'!$F$12&lt;&gt;"",'Your debts'!$F$11&lt;&gt;"",'Your debts'!$F$12&lt;'Your debts'!$F$11),AL92,0)+IF(AND('Your debts'!$F$13&lt;&gt;"",'Your debts'!$F$11&lt;&gt;"",'Your debts'!$F$13&lt;'Your debts'!$F$11),AQ92,0)+IF(AND('Your debts'!$F$14&lt;&gt;"",'Your debts'!$F$11&lt;&gt;"",'Your debts'!$F$14&lt;'Your debts'!$F$11),AV92,0)+IF(AND('Your debts'!$F$15&lt;&gt;"",'Your debts'!$F$11&lt;&gt;"",'Your debts'!$F$15&lt;'Your debts'!$F$11),BA92,0)))))</f>
        <v/>
      </c>
      <c r="AI92" s="33">
        <f>AG92-AH92</f>
        <v/>
      </c>
      <c r="AJ92" s="33">
        <f>IF(AN91&lt;=0,0,ROUND(AN91*(1+'Your debts'!$D$12/1200),2))</f>
        <v/>
      </c>
      <c r="AK92" s="33">
        <f>IF(AJ92&lt;=0,0,MIN('Your debts'!$E$12,AJ92))</f>
        <v/>
      </c>
      <c r="AL92" s="33">
        <f>AJ92-AK92</f>
        <v/>
      </c>
      <c r="AM92" s="33">
        <f>IF('Your debts'!$F$12="",0,MIN(AL92,MAX(0,MAX(0,'Your debts'!$C$19-(G92+L92+Q92+V92+AA92+AF92+AK92+AP92+AU92+AZ92))-(IF(AND('Your debts'!$F$6&lt;&gt;"",'Your debts'!$F$12&lt;&gt;"",'Your debts'!$F$6&lt;'Your debts'!$F$12),H92,0)+IF(AND('Your debts'!$F$7&lt;&gt;"",'Your debts'!$F$12&lt;&gt;"",'Your debts'!$F$7&lt;'Your debts'!$F$12),M92,0)+IF(AND('Your debts'!$F$8&lt;&gt;"",'Your debts'!$F$12&lt;&gt;"",'Your debts'!$F$8&lt;'Your debts'!$F$12),R92,0)+IF(AND('Your debts'!$F$9&lt;&gt;"",'Your debts'!$F$12&lt;&gt;"",'Your debts'!$F$9&lt;'Your debts'!$F$12),W92,0)+IF(AND('Your debts'!$F$10&lt;&gt;"",'Your debts'!$F$12&lt;&gt;"",'Your debts'!$F$10&lt;'Your debts'!$F$12),AB92,0)+IF(AND('Your debts'!$F$11&lt;&gt;"",'Your debts'!$F$12&lt;&gt;"",'Your debts'!$F$11&lt;'Your debts'!$F$12),AG92,0)+IF(AND('Your debts'!$F$13&lt;&gt;"",'Your debts'!$F$12&lt;&gt;"",'Your debts'!$F$13&lt;'Your debts'!$F$12),AQ92,0)+IF(AND('Your debts'!$F$14&lt;&gt;"",'Your debts'!$F$12&lt;&gt;"",'Your debts'!$F$14&lt;'Your debts'!$F$12),AV92,0)+IF(AND('Your debts'!$F$15&lt;&gt;"",'Your debts'!$F$12&lt;&gt;"",'Your debts'!$F$15&lt;'Your debts'!$F$12),BA92,0)))))</f>
        <v/>
      </c>
      <c r="AN92" s="33">
        <f>AL92-AM92</f>
        <v/>
      </c>
      <c r="AO92" s="33">
        <f>IF(AS91&lt;=0,0,ROUND(AS91*(1+'Your debts'!$D$13/1200),2))</f>
        <v/>
      </c>
      <c r="AP92" s="33">
        <f>IF(AO92&lt;=0,0,MIN('Your debts'!$E$13,AO92))</f>
        <v/>
      </c>
      <c r="AQ92" s="33">
        <f>AO92-AP92</f>
        <v/>
      </c>
      <c r="AR92" s="33">
        <f>IF('Your debts'!$F$13="",0,MIN(AQ92,MAX(0,MAX(0,'Your debts'!$C$19-(G92+L92+Q92+V92+AA92+AF92+AK92+AP92+AU92+AZ92))-(IF(AND('Your debts'!$F$6&lt;&gt;"",'Your debts'!$F$13&lt;&gt;"",'Your debts'!$F$6&lt;'Your debts'!$F$13),H92,0)+IF(AND('Your debts'!$F$7&lt;&gt;"",'Your debts'!$F$13&lt;&gt;"",'Your debts'!$F$7&lt;'Your debts'!$F$13),M92,0)+IF(AND('Your debts'!$F$8&lt;&gt;"",'Your debts'!$F$13&lt;&gt;"",'Your debts'!$F$8&lt;'Your debts'!$F$13),R92,0)+IF(AND('Your debts'!$F$9&lt;&gt;"",'Your debts'!$F$13&lt;&gt;"",'Your debts'!$F$9&lt;'Your debts'!$F$13),W92,0)+IF(AND('Your debts'!$F$10&lt;&gt;"",'Your debts'!$F$13&lt;&gt;"",'Your debts'!$F$10&lt;'Your debts'!$F$13),AB92,0)+IF(AND('Your debts'!$F$11&lt;&gt;"",'Your debts'!$F$13&lt;&gt;"",'Your debts'!$F$11&lt;'Your debts'!$F$13),AG92,0)+IF(AND('Your debts'!$F$12&lt;&gt;"",'Your debts'!$F$13&lt;&gt;"",'Your debts'!$F$12&lt;'Your debts'!$F$13),AL92,0)+IF(AND('Your debts'!$F$14&lt;&gt;"",'Your debts'!$F$13&lt;&gt;"",'Your debts'!$F$14&lt;'Your debts'!$F$13),AV92,0)+IF(AND('Your debts'!$F$15&lt;&gt;"",'Your debts'!$F$13&lt;&gt;"",'Your debts'!$F$15&lt;'Your debts'!$F$13),BA92,0)))))</f>
        <v/>
      </c>
      <c r="AS92" s="33">
        <f>AQ92-AR92</f>
        <v/>
      </c>
      <c r="AT92" s="33">
        <f>IF(AX91&lt;=0,0,ROUND(AX91*(1+'Your debts'!$D$14/1200),2))</f>
        <v/>
      </c>
      <c r="AU92" s="33">
        <f>IF(AT92&lt;=0,0,MIN('Your debts'!$E$14,AT92))</f>
        <v/>
      </c>
      <c r="AV92" s="33">
        <f>AT92-AU92</f>
        <v/>
      </c>
      <c r="AW92" s="33">
        <f>IF('Your debts'!$F$14="",0,MIN(AV92,MAX(0,MAX(0,'Your debts'!$C$19-(G92+L92+Q92+V92+AA92+AF92+AK92+AP92+AU92+AZ92))-(IF(AND('Your debts'!$F$6&lt;&gt;"",'Your debts'!$F$14&lt;&gt;"",'Your debts'!$F$6&lt;'Your debts'!$F$14),H92,0)+IF(AND('Your debts'!$F$7&lt;&gt;"",'Your debts'!$F$14&lt;&gt;"",'Your debts'!$F$7&lt;'Your debts'!$F$14),M92,0)+IF(AND('Your debts'!$F$8&lt;&gt;"",'Your debts'!$F$14&lt;&gt;"",'Your debts'!$F$8&lt;'Your debts'!$F$14),R92,0)+IF(AND('Your debts'!$F$9&lt;&gt;"",'Your debts'!$F$14&lt;&gt;"",'Your debts'!$F$9&lt;'Your debts'!$F$14),W92,0)+IF(AND('Your debts'!$F$10&lt;&gt;"",'Your debts'!$F$14&lt;&gt;"",'Your debts'!$F$10&lt;'Your debts'!$F$14),AB92,0)+IF(AND('Your debts'!$F$11&lt;&gt;"",'Your debts'!$F$14&lt;&gt;"",'Your debts'!$F$11&lt;'Your debts'!$F$14),AG92,0)+IF(AND('Your debts'!$F$12&lt;&gt;"",'Your debts'!$F$14&lt;&gt;"",'Your debts'!$F$12&lt;'Your debts'!$F$14),AL92,0)+IF(AND('Your debts'!$F$13&lt;&gt;"",'Your debts'!$F$14&lt;&gt;"",'Your debts'!$F$13&lt;'Your debts'!$F$14),AQ92,0)+IF(AND('Your debts'!$F$15&lt;&gt;"",'Your debts'!$F$14&lt;&gt;"",'Your debts'!$F$15&lt;'Your debts'!$F$14),BA92,0)))))</f>
        <v/>
      </c>
      <c r="AX92" s="33">
        <f>AV92-AW92</f>
        <v/>
      </c>
      <c r="AY92" s="33">
        <f>IF(BC91&lt;=0,0,ROUND(BC91*(1+'Your debts'!$D$15/1200),2))</f>
        <v/>
      </c>
      <c r="AZ92" s="33">
        <f>IF(AY92&lt;=0,0,MIN('Your debts'!$E$15,AY92))</f>
        <v/>
      </c>
      <c r="BA92" s="33">
        <f>AY92-AZ92</f>
        <v/>
      </c>
      <c r="BB92" s="33">
        <f>IF('Your debts'!$F$15="",0,MIN(BA92,MAX(0,MAX(0,'Your debts'!$C$19-(G92+L92+Q92+V92+AA92+AF92+AK92+AP92+AU92+AZ92))-(IF(AND('Your debts'!$F$6&lt;&gt;"",'Your debts'!$F$15&lt;&gt;"",'Your debts'!$F$6&lt;'Your debts'!$F$15),H92,0)+IF(AND('Your debts'!$F$7&lt;&gt;"",'Your debts'!$F$15&lt;&gt;"",'Your debts'!$F$7&lt;'Your debts'!$F$15),M92,0)+IF(AND('Your debts'!$F$8&lt;&gt;"",'Your debts'!$F$15&lt;&gt;"",'Your debts'!$F$8&lt;'Your debts'!$F$15),R92,0)+IF(AND('Your debts'!$F$9&lt;&gt;"",'Your debts'!$F$15&lt;&gt;"",'Your debts'!$F$9&lt;'Your debts'!$F$15),W92,0)+IF(AND('Your debts'!$F$10&lt;&gt;"",'Your debts'!$F$15&lt;&gt;"",'Your debts'!$F$10&lt;'Your debts'!$F$15),AB92,0)+IF(AND('Your debts'!$F$11&lt;&gt;"",'Your debts'!$F$15&lt;&gt;"",'Your debts'!$F$11&lt;'Your debts'!$F$15),AG92,0)+IF(AND('Your debts'!$F$12&lt;&gt;"",'Your debts'!$F$15&lt;&gt;"",'Your debts'!$F$12&lt;'Your debts'!$F$15),AL92,0)+IF(AND('Your debts'!$F$13&lt;&gt;"",'Your debts'!$F$15&lt;&gt;"",'Your debts'!$F$13&lt;'Your debts'!$F$15),AQ92,0)+IF(AND('Your debts'!$F$14&lt;&gt;"",'Your debts'!$F$15&lt;&gt;"",'Your debts'!$F$14&lt;'Your debts'!$F$15),AV92,0)))))</f>
        <v/>
      </c>
      <c r="BC92" s="33">
        <f>BA92-BB92</f>
        <v/>
      </c>
    </row>
    <row r="93">
      <c r="A93" s="30" t="n">
        <v>78</v>
      </c>
      <c r="B93" s="31">
        <f>EDATE($B$15,78)</f>
        <v/>
      </c>
      <c r="C93" s="32">
        <f>IF(J92&lt;=0,0,F93-J92)+IF(O92&lt;=0,0,K93-O92)+IF(T92&lt;=0,0,P93-T92)+IF(Y92&lt;=0,0,U93-Y92)+IF(AD92&lt;=0,0,Z93-AD92)+IF(AI92&lt;=0,0,AE93-AI92)+IF(AN92&lt;=0,0,AJ93-AN92)+IF(AS92&lt;=0,0,AO93-AS92)+IF(AX92&lt;=0,0,AT93-AX92)+IF(BC92&lt;=0,0,AY93-BC92)</f>
        <v/>
      </c>
      <c r="D93" s="32">
        <f>G93+I93+L93+N93+Q93+S93+V93+X93+AA93+AC93+AF93+AH93+AK93+AM93+AP93+AR93+AU93+AW93+AZ93+BB93</f>
        <v/>
      </c>
      <c r="E93" s="32">
        <f>J93+O93+T93+Y93+AD93+AI93+AN93+AS93+AX93+BC93</f>
        <v/>
      </c>
      <c r="F93" s="33">
        <f>IF(J92&lt;=0,0,ROUND(J92*(1+'Your debts'!$D$6/1200),2))</f>
        <v/>
      </c>
      <c r="G93" s="33">
        <f>IF(F93&lt;=0,0,MIN('Your debts'!$E$6,F93))</f>
        <v/>
      </c>
      <c r="H93" s="33">
        <f>F93-G93</f>
        <v/>
      </c>
      <c r="I93" s="33">
        <f>IF('Your debts'!$F$6="",0,MIN(H93,MAX(0,MAX(0,'Your debts'!$C$19-(G93+L93+Q93+V93+AA93+AF93+AK93+AP93+AU93+AZ93))-(IF(AND('Your debts'!$F$7&lt;&gt;"",'Your debts'!$F$6&lt;&gt;"",'Your debts'!$F$7&lt;'Your debts'!$F$6),M93,0)+IF(AND('Your debts'!$F$8&lt;&gt;"",'Your debts'!$F$6&lt;&gt;"",'Your debts'!$F$8&lt;'Your debts'!$F$6),R93,0)+IF(AND('Your debts'!$F$9&lt;&gt;"",'Your debts'!$F$6&lt;&gt;"",'Your debts'!$F$9&lt;'Your debts'!$F$6),W93,0)+IF(AND('Your debts'!$F$10&lt;&gt;"",'Your debts'!$F$6&lt;&gt;"",'Your debts'!$F$10&lt;'Your debts'!$F$6),AB93,0)+IF(AND('Your debts'!$F$11&lt;&gt;"",'Your debts'!$F$6&lt;&gt;"",'Your debts'!$F$11&lt;'Your debts'!$F$6),AG93,0)+IF(AND('Your debts'!$F$12&lt;&gt;"",'Your debts'!$F$6&lt;&gt;"",'Your debts'!$F$12&lt;'Your debts'!$F$6),AL93,0)+IF(AND('Your debts'!$F$13&lt;&gt;"",'Your debts'!$F$6&lt;&gt;"",'Your debts'!$F$13&lt;'Your debts'!$F$6),AQ93,0)+IF(AND('Your debts'!$F$14&lt;&gt;"",'Your debts'!$F$6&lt;&gt;"",'Your debts'!$F$14&lt;'Your debts'!$F$6),AV93,0)+IF(AND('Your debts'!$F$15&lt;&gt;"",'Your debts'!$F$6&lt;&gt;"",'Your debts'!$F$15&lt;'Your debts'!$F$6),BA93,0)))))</f>
        <v/>
      </c>
      <c r="J93" s="33">
        <f>H93-I93</f>
        <v/>
      </c>
      <c r="K93" s="33">
        <f>IF(O92&lt;=0,0,ROUND(O92*(1+'Your debts'!$D$7/1200),2))</f>
        <v/>
      </c>
      <c r="L93" s="33">
        <f>IF(K93&lt;=0,0,MIN('Your debts'!$E$7,K93))</f>
        <v/>
      </c>
      <c r="M93" s="33">
        <f>K93-L93</f>
        <v/>
      </c>
      <c r="N93" s="33">
        <f>IF('Your debts'!$F$7="",0,MIN(M93,MAX(0,MAX(0,'Your debts'!$C$19-(G93+L93+Q93+V93+AA93+AF93+AK93+AP93+AU93+AZ93))-(IF(AND('Your debts'!$F$6&lt;&gt;"",'Your debts'!$F$7&lt;&gt;"",'Your debts'!$F$6&lt;'Your debts'!$F$7),H93,0)+IF(AND('Your debts'!$F$8&lt;&gt;"",'Your debts'!$F$7&lt;&gt;"",'Your debts'!$F$8&lt;'Your debts'!$F$7),R93,0)+IF(AND('Your debts'!$F$9&lt;&gt;"",'Your debts'!$F$7&lt;&gt;"",'Your debts'!$F$9&lt;'Your debts'!$F$7),W93,0)+IF(AND('Your debts'!$F$10&lt;&gt;"",'Your debts'!$F$7&lt;&gt;"",'Your debts'!$F$10&lt;'Your debts'!$F$7),AB93,0)+IF(AND('Your debts'!$F$11&lt;&gt;"",'Your debts'!$F$7&lt;&gt;"",'Your debts'!$F$11&lt;'Your debts'!$F$7),AG93,0)+IF(AND('Your debts'!$F$12&lt;&gt;"",'Your debts'!$F$7&lt;&gt;"",'Your debts'!$F$12&lt;'Your debts'!$F$7),AL93,0)+IF(AND('Your debts'!$F$13&lt;&gt;"",'Your debts'!$F$7&lt;&gt;"",'Your debts'!$F$13&lt;'Your debts'!$F$7),AQ93,0)+IF(AND('Your debts'!$F$14&lt;&gt;"",'Your debts'!$F$7&lt;&gt;"",'Your debts'!$F$14&lt;'Your debts'!$F$7),AV93,0)+IF(AND('Your debts'!$F$15&lt;&gt;"",'Your debts'!$F$7&lt;&gt;"",'Your debts'!$F$15&lt;'Your debts'!$F$7),BA93,0)))))</f>
        <v/>
      </c>
      <c r="O93" s="33">
        <f>M93-N93</f>
        <v/>
      </c>
      <c r="P93" s="33">
        <f>IF(T92&lt;=0,0,ROUND(T92*(1+'Your debts'!$D$8/1200),2))</f>
        <v/>
      </c>
      <c r="Q93" s="33">
        <f>IF(P93&lt;=0,0,MIN('Your debts'!$E$8,P93))</f>
        <v/>
      </c>
      <c r="R93" s="33">
        <f>P93-Q93</f>
        <v/>
      </c>
      <c r="S93" s="33">
        <f>IF('Your debts'!$F$8="",0,MIN(R93,MAX(0,MAX(0,'Your debts'!$C$19-(G93+L93+Q93+V93+AA93+AF93+AK93+AP93+AU93+AZ93))-(IF(AND('Your debts'!$F$6&lt;&gt;"",'Your debts'!$F$8&lt;&gt;"",'Your debts'!$F$6&lt;'Your debts'!$F$8),H93,0)+IF(AND('Your debts'!$F$7&lt;&gt;"",'Your debts'!$F$8&lt;&gt;"",'Your debts'!$F$7&lt;'Your debts'!$F$8),M93,0)+IF(AND('Your debts'!$F$9&lt;&gt;"",'Your debts'!$F$8&lt;&gt;"",'Your debts'!$F$9&lt;'Your debts'!$F$8),W93,0)+IF(AND('Your debts'!$F$10&lt;&gt;"",'Your debts'!$F$8&lt;&gt;"",'Your debts'!$F$10&lt;'Your debts'!$F$8),AB93,0)+IF(AND('Your debts'!$F$11&lt;&gt;"",'Your debts'!$F$8&lt;&gt;"",'Your debts'!$F$11&lt;'Your debts'!$F$8),AG93,0)+IF(AND('Your debts'!$F$12&lt;&gt;"",'Your debts'!$F$8&lt;&gt;"",'Your debts'!$F$12&lt;'Your debts'!$F$8),AL93,0)+IF(AND('Your debts'!$F$13&lt;&gt;"",'Your debts'!$F$8&lt;&gt;"",'Your debts'!$F$13&lt;'Your debts'!$F$8),AQ93,0)+IF(AND('Your debts'!$F$14&lt;&gt;"",'Your debts'!$F$8&lt;&gt;"",'Your debts'!$F$14&lt;'Your debts'!$F$8),AV93,0)+IF(AND('Your debts'!$F$15&lt;&gt;"",'Your debts'!$F$8&lt;&gt;"",'Your debts'!$F$15&lt;'Your debts'!$F$8),BA93,0)))))</f>
        <v/>
      </c>
      <c r="T93" s="33">
        <f>R93-S93</f>
        <v/>
      </c>
      <c r="U93" s="33">
        <f>IF(Y92&lt;=0,0,ROUND(Y92*(1+'Your debts'!$D$9/1200),2))</f>
        <v/>
      </c>
      <c r="V93" s="33">
        <f>IF(U93&lt;=0,0,MIN('Your debts'!$E$9,U93))</f>
        <v/>
      </c>
      <c r="W93" s="33">
        <f>U93-V93</f>
        <v/>
      </c>
      <c r="X93" s="33">
        <f>IF('Your debts'!$F$9="",0,MIN(W93,MAX(0,MAX(0,'Your debts'!$C$19-(G93+L93+Q93+V93+AA93+AF93+AK93+AP93+AU93+AZ93))-(IF(AND('Your debts'!$F$6&lt;&gt;"",'Your debts'!$F$9&lt;&gt;"",'Your debts'!$F$6&lt;'Your debts'!$F$9),H93,0)+IF(AND('Your debts'!$F$7&lt;&gt;"",'Your debts'!$F$9&lt;&gt;"",'Your debts'!$F$7&lt;'Your debts'!$F$9),M93,0)+IF(AND('Your debts'!$F$8&lt;&gt;"",'Your debts'!$F$9&lt;&gt;"",'Your debts'!$F$8&lt;'Your debts'!$F$9),R93,0)+IF(AND('Your debts'!$F$10&lt;&gt;"",'Your debts'!$F$9&lt;&gt;"",'Your debts'!$F$10&lt;'Your debts'!$F$9),AB93,0)+IF(AND('Your debts'!$F$11&lt;&gt;"",'Your debts'!$F$9&lt;&gt;"",'Your debts'!$F$11&lt;'Your debts'!$F$9),AG93,0)+IF(AND('Your debts'!$F$12&lt;&gt;"",'Your debts'!$F$9&lt;&gt;"",'Your debts'!$F$12&lt;'Your debts'!$F$9),AL93,0)+IF(AND('Your debts'!$F$13&lt;&gt;"",'Your debts'!$F$9&lt;&gt;"",'Your debts'!$F$13&lt;'Your debts'!$F$9),AQ93,0)+IF(AND('Your debts'!$F$14&lt;&gt;"",'Your debts'!$F$9&lt;&gt;"",'Your debts'!$F$14&lt;'Your debts'!$F$9),AV93,0)+IF(AND('Your debts'!$F$15&lt;&gt;"",'Your debts'!$F$9&lt;&gt;"",'Your debts'!$F$15&lt;'Your debts'!$F$9),BA93,0)))))</f>
        <v/>
      </c>
      <c r="Y93" s="33">
        <f>W93-X93</f>
        <v/>
      </c>
      <c r="Z93" s="33">
        <f>IF(AD92&lt;=0,0,ROUND(AD92*(1+'Your debts'!$D$10/1200),2))</f>
        <v/>
      </c>
      <c r="AA93" s="33">
        <f>IF(Z93&lt;=0,0,MIN('Your debts'!$E$10,Z93))</f>
        <v/>
      </c>
      <c r="AB93" s="33">
        <f>Z93-AA93</f>
        <v/>
      </c>
      <c r="AC93" s="33">
        <f>IF('Your debts'!$F$10="",0,MIN(AB93,MAX(0,MAX(0,'Your debts'!$C$19-(G93+L93+Q93+V93+AA93+AF93+AK93+AP93+AU93+AZ93))-(IF(AND('Your debts'!$F$6&lt;&gt;"",'Your debts'!$F$10&lt;&gt;"",'Your debts'!$F$6&lt;'Your debts'!$F$10),H93,0)+IF(AND('Your debts'!$F$7&lt;&gt;"",'Your debts'!$F$10&lt;&gt;"",'Your debts'!$F$7&lt;'Your debts'!$F$10),M93,0)+IF(AND('Your debts'!$F$8&lt;&gt;"",'Your debts'!$F$10&lt;&gt;"",'Your debts'!$F$8&lt;'Your debts'!$F$10),R93,0)+IF(AND('Your debts'!$F$9&lt;&gt;"",'Your debts'!$F$10&lt;&gt;"",'Your debts'!$F$9&lt;'Your debts'!$F$10),W93,0)+IF(AND('Your debts'!$F$11&lt;&gt;"",'Your debts'!$F$10&lt;&gt;"",'Your debts'!$F$11&lt;'Your debts'!$F$10),AG93,0)+IF(AND('Your debts'!$F$12&lt;&gt;"",'Your debts'!$F$10&lt;&gt;"",'Your debts'!$F$12&lt;'Your debts'!$F$10),AL93,0)+IF(AND('Your debts'!$F$13&lt;&gt;"",'Your debts'!$F$10&lt;&gt;"",'Your debts'!$F$13&lt;'Your debts'!$F$10),AQ93,0)+IF(AND('Your debts'!$F$14&lt;&gt;"",'Your debts'!$F$10&lt;&gt;"",'Your debts'!$F$14&lt;'Your debts'!$F$10),AV93,0)+IF(AND('Your debts'!$F$15&lt;&gt;"",'Your debts'!$F$10&lt;&gt;"",'Your debts'!$F$15&lt;'Your debts'!$F$10),BA93,0)))))</f>
        <v/>
      </c>
      <c r="AD93" s="33">
        <f>AB93-AC93</f>
        <v/>
      </c>
      <c r="AE93" s="33">
        <f>IF(AI92&lt;=0,0,ROUND(AI92*(1+'Your debts'!$D$11/1200),2))</f>
        <v/>
      </c>
      <c r="AF93" s="33">
        <f>IF(AE93&lt;=0,0,MIN('Your debts'!$E$11,AE93))</f>
        <v/>
      </c>
      <c r="AG93" s="33">
        <f>AE93-AF93</f>
        <v/>
      </c>
      <c r="AH93" s="33">
        <f>IF('Your debts'!$F$11="",0,MIN(AG93,MAX(0,MAX(0,'Your debts'!$C$19-(G93+L93+Q93+V93+AA93+AF93+AK93+AP93+AU93+AZ93))-(IF(AND('Your debts'!$F$6&lt;&gt;"",'Your debts'!$F$11&lt;&gt;"",'Your debts'!$F$6&lt;'Your debts'!$F$11),H93,0)+IF(AND('Your debts'!$F$7&lt;&gt;"",'Your debts'!$F$11&lt;&gt;"",'Your debts'!$F$7&lt;'Your debts'!$F$11),M93,0)+IF(AND('Your debts'!$F$8&lt;&gt;"",'Your debts'!$F$11&lt;&gt;"",'Your debts'!$F$8&lt;'Your debts'!$F$11),R93,0)+IF(AND('Your debts'!$F$9&lt;&gt;"",'Your debts'!$F$11&lt;&gt;"",'Your debts'!$F$9&lt;'Your debts'!$F$11),W93,0)+IF(AND('Your debts'!$F$10&lt;&gt;"",'Your debts'!$F$11&lt;&gt;"",'Your debts'!$F$10&lt;'Your debts'!$F$11),AB93,0)+IF(AND('Your debts'!$F$12&lt;&gt;"",'Your debts'!$F$11&lt;&gt;"",'Your debts'!$F$12&lt;'Your debts'!$F$11),AL93,0)+IF(AND('Your debts'!$F$13&lt;&gt;"",'Your debts'!$F$11&lt;&gt;"",'Your debts'!$F$13&lt;'Your debts'!$F$11),AQ93,0)+IF(AND('Your debts'!$F$14&lt;&gt;"",'Your debts'!$F$11&lt;&gt;"",'Your debts'!$F$14&lt;'Your debts'!$F$11),AV93,0)+IF(AND('Your debts'!$F$15&lt;&gt;"",'Your debts'!$F$11&lt;&gt;"",'Your debts'!$F$15&lt;'Your debts'!$F$11),BA93,0)))))</f>
        <v/>
      </c>
      <c r="AI93" s="33">
        <f>AG93-AH93</f>
        <v/>
      </c>
      <c r="AJ93" s="33">
        <f>IF(AN92&lt;=0,0,ROUND(AN92*(1+'Your debts'!$D$12/1200),2))</f>
        <v/>
      </c>
      <c r="AK93" s="33">
        <f>IF(AJ93&lt;=0,0,MIN('Your debts'!$E$12,AJ93))</f>
        <v/>
      </c>
      <c r="AL93" s="33">
        <f>AJ93-AK93</f>
        <v/>
      </c>
      <c r="AM93" s="33">
        <f>IF('Your debts'!$F$12="",0,MIN(AL93,MAX(0,MAX(0,'Your debts'!$C$19-(G93+L93+Q93+V93+AA93+AF93+AK93+AP93+AU93+AZ93))-(IF(AND('Your debts'!$F$6&lt;&gt;"",'Your debts'!$F$12&lt;&gt;"",'Your debts'!$F$6&lt;'Your debts'!$F$12),H93,0)+IF(AND('Your debts'!$F$7&lt;&gt;"",'Your debts'!$F$12&lt;&gt;"",'Your debts'!$F$7&lt;'Your debts'!$F$12),M93,0)+IF(AND('Your debts'!$F$8&lt;&gt;"",'Your debts'!$F$12&lt;&gt;"",'Your debts'!$F$8&lt;'Your debts'!$F$12),R93,0)+IF(AND('Your debts'!$F$9&lt;&gt;"",'Your debts'!$F$12&lt;&gt;"",'Your debts'!$F$9&lt;'Your debts'!$F$12),W93,0)+IF(AND('Your debts'!$F$10&lt;&gt;"",'Your debts'!$F$12&lt;&gt;"",'Your debts'!$F$10&lt;'Your debts'!$F$12),AB93,0)+IF(AND('Your debts'!$F$11&lt;&gt;"",'Your debts'!$F$12&lt;&gt;"",'Your debts'!$F$11&lt;'Your debts'!$F$12),AG93,0)+IF(AND('Your debts'!$F$13&lt;&gt;"",'Your debts'!$F$12&lt;&gt;"",'Your debts'!$F$13&lt;'Your debts'!$F$12),AQ93,0)+IF(AND('Your debts'!$F$14&lt;&gt;"",'Your debts'!$F$12&lt;&gt;"",'Your debts'!$F$14&lt;'Your debts'!$F$12),AV93,0)+IF(AND('Your debts'!$F$15&lt;&gt;"",'Your debts'!$F$12&lt;&gt;"",'Your debts'!$F$15&lt;'Your debts'!$F$12),BA93,0)))))</f>
        <v/>
      </c>
      <c r="AN93" s="33">
        <f>AL93-AM93</f>
        <v/>
      </c>
      <c r="AO93" s="33">
        <f>IF(AS92&lt;=0,0,ROUND(AS92*(1+'Your debts'!$D$13/1200),2))</f>
        <v/>
      </c>
      <c r="AP93" s="33">
        <f>IF(AO93&lt;=0,0,MIN('Your debts'!$E$13,AO93))</f>
        <v/>
      </c>
      <c r="AQ93" s="33">
        <f>AO93-AP93</f>
        <v/>
      </c>
      <c r="AR93" s="33">
        <f>IF('Your debts'!$F$13="",0,MIN(AQ93,MAX(0,MAX(0,'Your debts'!$C$19-(G93+L93+Q93+V93+AA93+AF93+AK93+AP93+AU93+AZ93))-(IF(AND('Your debts'!$F$6&lt;&gt;"",'Your debts'!$F$13&lt;&gt;"",'Your debts'!$F$6&lt;'Your debts'!$F$13),H93,0)+IF(AND('Your debts'!$F$7&lt;&gt;"",'Your debts'!$F$13&lt;&gt;"",'Your debts'!$F$7&lt;'Your debts'!$F$13),M93,0)+IF(AND('Your debts'!$F$8&lt;&gt;"",'Your debts'!$F$13&lt;&gt;"",'Your debts'!$F$8&lt;'Your debts'!$F$13),R93,0)+IF(AND('Your debts'!$F$9&lt;&gt;"",'Your debts'!$F$13&lt;&gt;"",'Your debts'!$F$9&lt;'Your debts'!$F$13),W93,0)+IF(AND('Your debts'!$F$10&lt;&gt;"",'Your debts'!$F$13&lt;&gt;"",'Your debts'!$F$10&lt;'Your debts'!$F$13),AB93,0)+IF(AND('Your debts'!$F$11&lt;&gt;"",'Your debts'!$F$13&lt;&gt;"",'Your debts'!$F$11&lt;'Your debts'!$F$13),AG93,0)+IF(AND('Your debts'!$F$12&lt;&gt;"",'Your debts'!$F$13&lt;&gt;"",'Your debts'!$F$12&lt;'Your debts'!$F$13),AL93,0)+IF(AND('Your debts'!$F$14&lt;&gt;"",'Your debts'!$F$13&lt;&gt;"",'Your debts'!$F$14&lt;'Your debts'!$F$13),AV93,0)+IF(AND('Your debts'!$F$15&lt;&gt;"",'Your debts'!$F$13&lt;&gt;"",'Your debts'!$F$15&lt;'Your debts'!$F$13),BA93,0)))))</f>
        <v/>
      </c>
      <c r="AS93" s="33">
        <f>AQ93-AR93</f>
        <v/>
      </c>
      <c r="AT93" s="33">
        <f>IF(AX92&lt;=0,0,ROUND(AX92*(1+'Your debts'!$D$14/1200),2))</f>
        <v/>
      </c>
      <c r="AU93" s="33">
        <f>IF(AT93&lt;=0,0,MIN('Your debts'!$E$14,AT93))</f>
        <v/>
      </c>
      <c r="AV93" s="33">
        <f>AT93-AU93</f>
        <v/>
      </c>
      <c r="AW93" s="33">
        <f>IF('Your debts'!$F$14="",0,MIN(AV93,MAX(0,MAX(0,'Your debts'!$C$19-(G93+L93+Q93+V93+AA93+AF93+AK93+AP93+AU93+AZ93))-(IF(AND('Your debts'!$F$6&lt;&gt;"",'Your debts'!$F$14&lt;&gt;"",'Your debts'!$F$6&lt;'Your debts'!$F$14),H93,0)+IF(AND('Your debts'!$F$7&lt;&gt;"",'Your debts'!$F$14&lt;&gt;"",'Your debts'!$F$7&lt;'Your debts'!$F$14),M93,0)+IF(AND('Your debts'!$F$8&lt;&gt;"",'Your debts'!$F$14&lt;&gt;"",'Your debts'!$F$8&lt;'Your debts'!$F$14),R93,0)+IF(AND('Your debts'!$F$9&lt;&gt;"",'Your debts'!$F$14&lt;&gt;"",'Your debts'!$F$9&lt;'Your debts'!$F$14),W93,0)+IF(AND('Your debts'!$F$10&lt;&gt;"",'Your debts'!$F$14&lt;&gt;"",'Your debts'!$F$10&lt;'Your debts'!$F$14),AB93,0)+IF(AND('Your debts'!$F$11&lt;&gt;"",'Your debts'!$F$14&lt;&gt;"",'Your debts'!$F$11&lt;'Your debts'!$F$14),AG93,0)+IF(AND('Your debts'!$F$12&lt;&gt;"",'Your debts'!$F$14&lt;&gt;"",'Your debts'!$F$12&lt;'Your debts'!$F$14),AL93,0)+IF(AND('Your debts'!$F$13&lt;&gt;"",'Your debts'!$F$14&lt;&gt;"",'Your debts'!$F$13&lt;'Your debts'!$F$14),AQ93,0)+IF(AND('Your debts'!$F$15&lt;&gt;"",'Your debts'!$F$14&lt;&gt;"",'Your debts'!$F$15&lt;'Your debts'!$F$14),BA93,0)))))</f>
        <v/>
      </c>
      <c r="AX93" s="33">
        <f>AV93-AW93</f>
        <v/>
      </c>
      <c r="AY93" s="33">
        <f>IF(BC92&lt;=0,0,ROUND(BC92*(1+'Your debts'!$D$15/1200),2))</f>
        <v/>
      </c>
      <c r="AZ93" s="33">
        <f>IF(AY93&lt;=0,0,MIN('Your debts'!$E$15,AY93))</f>
        <v/>
      </c>
      <c r="BA93" s="33">
        <f>AY93-AZ93</f>
        <v/>
      </c>
      <c r="BB93" s="33">
        <f>IF('Your debts'!$F$15="",0,MIN(BA93,MAX(0,MAX(0,'Your debts'!$C$19-(G93+L93+Q93+V93+AA93+AF93+AK93+AP93+AU93+AZ93))-(IF(AND('Your debts'!$F$6&lt;&gt;"",'Your debts'!$F$15&lt;&gt;"",'Your debts'!$F$6&lt;'Your debts'!$F$15),H93,0)+IF(AND('Your debts'!$F$7&lt;&gt;"",'Your debts'!$F$15&lt;&gt;"",'Your debts'!$F$7&lt;'Your debts'!$F$15),M93,0)+IF(AND('Your debts'!$F$8&lt;&gt;"",'Your debts'!$F$15&lt;&gt;"",'Your debts'!$F$8&lt;'Your debts'!$F$15),R93,0)+IF(AND('Your debts'!$F$9&lt;&gt;"",'Your debts'!$F$15&lt;&gt;"",'Your debts'!$F$9&lt;'Your debts'!$F$15),W93,0)+IF(AND('Your debts'!$F$10&lt;&gt;"",'Your debts'!$F$15&lt;&gt;"",'Your debts'!$F$10&lt;'Your debts'!$F$15),AB93,0)+IF(AND('Your debts'!$F$11&lt;&gt;"",'Your debts'!$F$15&lt;&gt;"",'Your debts'!$F$11&lt;'Your debts'!$F$15),AG93,0)+IF(AND('Your debts'!$F$12&lt;&gt;"",'Your debts'!$F$15&lt;&gt;"",'Your debts'!$F$12&lt;'Your debts'!$F$15),AL93,0)+IF(AND('Your debts'!$F$13&lt;&gt;"",'Your debts'!$F$15&lt;&gt;"",'Your debts'!$F$13&lt;'Your debts'!$F$15),AQ93,0)+IF(AND('Your debts'!$F$14&lt;&gt;"",'Your debts'!$F$15&lt;&gt;"",'Your debts'!$F$14&lt;'Your debts'!$F$15),AV93,0)))))</f>
        <v/>
      </c>
      <c r="BC93" s="33">
        <f>BA93-BB93</f>
        <v/>
      </c>
    </row>
    <row r="94">
      <c r="A94" s="30" t="n">
        <v>79</v>
      </c>
      <c r="B94" s="31">
        <f>EDATE($B$15,79)</f>
        <v/>
      </c>
      <c r="C94" s="32">
        <f>IF(J93&lt;=0,0,F94-J93)+IF(O93&lt;=0,0,K94-O93)+IF(T93&lt;=0,0,P94-T93)+IF(Y93&lt;=0,0,U94-Y93)+IF(AD93&lt;=0,0,Z94-AD93)+IF(AI93&lt;=0,0,AE94-AI93)+IF(AN93&lt;=0,0,AJ94-AN93)+IF(AS93&lt;=0,0,AO94-AS93)+IF(AX93&lt;=0,0,AT94-AX93)+IF(BC93&lt;=0,0,AY94-BC93)</f>
        <v/>
      </c>
      <c r="D94" s="32">
        <f>G94+I94+L94+N94+Q94+S94+V94+X94+AA94+AC94+AF94+AH94+AK94+AM94+AP94+AR94+AU94+AW94+AZ94+BB94</f>
        <v/>
      </c>
      <c r="E94" s="32">
        <f>J94+O94+T94+Y94+AD94+AI94+AN94+AS94+AX94+BC94</f>
        <v/>
      </c>
      <c r="F94" s="33">
        <f>IF(J93&lt;=0,0,ROUND(J93*(1+'Your debts'!$D$6/1200),2))</f>
        <v/>
      </c>
      <c r="G94" s="33">
        <f>IF(F94&lt;=0,0,MIN('Your debts'!$E$6,F94))</f>
        <v/>
      </c>
      <c r="H94" s="33">
        <f>F94-G94</f>
        <v/>
      </c>
      <c r="I94" s="33">
        <f>IF('Your debts'!$F$6="",0,MIN(H94,MAX(0,MAX(0,'Your debts'!$C$19-(G94+L94+Q94+V94+AA94+AF94+AK94+AP94+AU94+AZ94))-(IF(AND('Your debts'!$F$7&lt;&gt;"",'Your debts'!$F$6&lt;&gt;"",'Your debts'!$F$7&lt;'Your debts'!$F$6),M94,0)+IF(AND('Your debts'!$F$8&lt;&gt;"",'Your debts'!$F$6&lt;&gt;"",'Your debts'!$F$8&lt;'Your debts'!$F$6),R94,0)+IF(AND('Your debts'!$F$9&lt;&gt;"",'Your debts'!$F$6&lt;&gt;"",'Your debts'!$F$9&lt;'Your debts'!$F$6),W94,0)+IF(AND('Your debts'!$F$10&lt;&gt;"",'Your debts'!$F$6&lt;&gt;"",'Your debts'!$F$10&lt;'Your debts'!$F$6),AB94,0)+IF(AND('Your debts'!$F$11&lt;&gt;"",'Your debts'!$F$6&lt;&gt;"",'Your debts'!$F$11&lt;'Your debts'!$F$6),AG94,0)+IF(AND('Your debts'!$F$12&lt;&gt;"",'Your debts'!$F$6&lt;&gt;"",'Your debts'!$F$12&lt;'Your debts'!$F$6),AL94,0)+IF(AND('Your debts'!$F$13&lt;&gt;"",'Your debts'!$F$6&lt;&gt;"",'Your debts'!$F$13&lt;'Your debts'!$F$6),AQ94,0)+IF(AND('Your debts'!$F$14&lt;&gt;"",'Your debts'!$F$6&lt;&gt;"",'Your debts'!$F$14&lt;'Your debts'!$F$6),AV94,0)+IF(AND('Your debts'!$F$15&lt;&gt;"",'Your debts'!$F$6&lt;&gt;"",'Your debts'!$F$15&lt;'Your debts'!$F$6),BA94,0)))))</f>
        <v/>
      </c>
      <c r="J94" s="33">
        <f>H94-I94</f>
        <v/>
      </c>
      <c r="K94" s="33">
        <f>IF(O93&lt;=0,0,ROUND(O93*(1+'Your debts'!$D$7/1200),2))</f>
        <v/>
      </c>
      <c r="L94" s="33">
        <f>IF(K94&lt;=0,0,MIN('Your debts'!$E$7,K94))</f>
        <v/>
      </c>
      <c r="M94" s="33">
        <f>K94-L94</f>
        <v/>
      </c>
      <c r="N94" s="33">
        <f>IF('Your debts'!$F$7="",0,MIN(M94,MAX(0,MAX(0,'Your debts'!$C$19-(G94+L94+Q94+V94+AA94+AF94+AK94+AP94+AU94+AZ94))-(IF(AND('Your debts'!$F$6&lt;&gt;"",'Your debts'!$F$7&lt;&gt;"",'Your debts'!$F$6&lt;'Your debts'!$F$7),H94,0)+IF(AND('Your debts'!$F$8&lt;&gt;"",'Your debts'!$F$7&lt;&gt;"",'Your debts'!$F$8&lt;'Your debts'!$F$7),R94,0)+IF(AND('Your debts'!$F$9&lt;&gt;"",'Your debts'!$F$7&lt;&gt;"",'Your debts'!$F$9&lt;'Your debts'!$F$7),W94,0)+IF(AND('Your debts'!$F$10&lt;&gt;"",'Your debts'!$F$7&lt;&gt;"",'Your debts'!$F$10&lt;'Your debts'!$F$7),AB94,0)+IF(AND('Your debts'!$F$11&lt;&gt;"",'Your debts'!$F$7&lt;&gt;"",'Your debts'!$F$11&lt;'Your debts'!$F$7),AG94,0)+IF(AND('Your debts'!$F$12&lt;&gt;"",'Your debts'!$F$7&lt;&gt;"",'Your debts'!$F$12&lt;'Your debts'!$F$7),AL94,0)+IF(AND('Your debts'!$F$13&lt;&gt;"",'Your debts'!$F$7&lt;&gt;"",'Your debts'!$F$13&lt;'Your debts'!$F$7),AQ94,0)+IF(AND('Your debts'!$F$14&lt;&gt;"",'Your debts'!$F$7&lt;&gt;"",'Your debts'!$F$14&lt;'Your debts'!$F$7),AV94,0)+IF(AND('Your debts'!$F$15&lt;&gt;"",'Your debts'!$F$7&lt;&gt;"",'Your debts'!$F$15&lt;'Your debts'!$F$7),BA94,0)))))</f>
        <v/>
      </c>
      <c r="O94" s="33">
        <f>M94-N94</f>
        <v/>
      </c>
      <c r="P94" s="33">
        <f>IF(T93&lt;=0,0,ROUND(T93*(1+'Your debts'!$D$8/1200),2))</f>
        <v/>
      </c>
      <c r="Q94" s="33">
        <f>IF(P94&lt;=0,0,MIN('Your debts'!$E$8,P94))</f>
        <v/>
      </c>
      <c r="R94" s="33">
        <f>P94-Q94</f>
        <v/>
      </c>
      <c r="S94" s="33">
        <f>IF('Your debts'!$F$8="",0,MIN(R94,MAX(0,MAX(0,'Your debts'!$C$19-(G94+L94+Q94+V94+AA94+AF94+AK94+AP94+AU94+AZ94))-(IF(AND('Your debts'!$F$6&lt;&gt;"",'Your debts'!$F$8&lt;&gt;"",'Your debts'!$F$6&lt;'Your debts'!$F$8),H94,0)+IF(AND('Your debts'!$F$7&lt;&gt;"",'Your debts'!$F$8&lt;&gt;"",'Your debts'!$F$7&lt;'Your debts'!$F$8),M94,0)+IF(AND('Your debts'!$F$9&lt;&gt;"",'Your debts'!$F$8&lt;&gt;"",'Your debts'!$F$9&lt;'Your debts'!$F$8),W94,0)+IF(AND('Your debts'!$F$10&lt;&gt;"",'Your debts'!$F$8&lt;&gt;"",'Your debts'!$F$10&lt;'Your debts'!$F$8),AB94,0)+IF(AND('Your debts'!$F$11&lt;&gt;"",'Your debts'!$F$8&lt;&gt;"",'Your debts'!$F$11&lt;'Your debts'!$F$8),AG94,0)+IF(AND('Your debts'!$F$12&lt;&gt;"",'Your debts'!$F$8&lt;&gt;"",'Your debts'!$F$12&lt;'Your debts'!$F$8),AL94,0)+IF(AND('Your debts'!$F$13&lt;&gt;"",'Your debts'!$F$8&lt;&gt;"",'Your debts'!$F$13&lt;'Your debts'!$F$8),AQ94,0)+IF(AND('Your debts'!$F$14&lt;&gt;"",'Your debts'!$F$8&lt;&gt;"",'Your debts'!$F$14&lt;'Your debts'!$F$8),AV94,0)+IF(AND('Your debts'!$F$15&lt;&gt;"",'Your debts'!$F$8&lt;&gt;"",'Your debts'!$F$15&lt;'Your debts'!$F$8),BA94,0)))))</f>
        <v/>
      </c>
      <c r="T94" s="33">
        <f>R94-S94</f>
        <v/>
      </c>
      <c r="U94" s="33">
        <f>IF(Y93&lt;=0,0,ROUND(Y93*(1+'Your debts'!$D$9/1200),2))</f>
        <v/>
      </c>
      <c r="V94" s="33">
        <f>IF(U94&lt;=0,0,MIN('Your debts'!$E$9,U94))</f>
        <v/>
      </c>
      <c r="W94" s="33">
        <f>U94-V94</f>
        <v/>
      </c>
      <c r="X94" s="33">
        <f>IF('Your debts'!$F$9="",0,MIN(W94,MAX(0,MAX(0,'Your debts'!$C$19-(G94+L94+Q94+V94+AA94+AF94+AK94+AP94+AU94+AZ94))-(IF(AND('Your debts'!$F$6&lt;&gt;"",'Your debts'!$F$9&lt;&gt;"",'Your debts'!$F$6&lt;'Your debts'!$F$9),H94,0)+IF(AND('Your debts'!$F$7&lt;&gt;"",'Your debts'!$F$9&lt;&gt;"",'Your debts'!$F$7&lt;'Your debts'!$F$9),M94,0)+IF(AND('Your debts'!$F$8&lt;&gt;"",'Your debts'!$F$9&lt;&gt;"",'Your debts'!$F$8&lt;'Your debts'!$F$9),R94,0)+IF(AND('Your debts'!$F$10&lt;&gt;"",'Your debts'!$F$9&lt;&gt;"",'Your debts'!$F$10&lt;'Your debts'!$F$9),AB94,0)+IF(AND('Your debts'!$F$11&lt;&gt;"",'Your debts'!$F$9&lt;&gt;"",'Your debts'!$F$11&lt;'Your debts'!$F$9),AG94,0)+IF(AND('Your debts'!$F$12&lt;&gt;"",'Your debts'!$F$9&lt;&gt;"",'Your debts'!$F$12&lt;'Your debts'!$F$9),AL94,0)+IF(AND('Your debts'!$F$13&lt;&gt;"",'Your debts'!$F$9&lt;&gt;"",'Your debts'!$F$13&lt;'Your debts'!$F$9),AQ94,0)+IF(AND('Your debts'!$F$14&lt;&gt;"",'Your debts'!$F$9&lt;&gt;"",'Your debts'!$F$14&lt;'Your debts'!$F$9),AV94,0)+IF(AND('Your debts'!$F$15&lt;&gt;"",'Your debts'!$F$9&lt;&gt;"",'Your debts'!$F$15&lt;'Your debts'!$F$9),BA94,0)))))</f>
        <v/>
      </c>
      <c r="Y94" s="33">
        <f>W94-X94</f>
        <v/>
      </c>
      <c r="Z94" s="33">
        <f>IF(AD93&lt;=0,0,ROUND(AD93*(1+'Your debts'!$D$10/1200),2))</f>
        <v/>
      </c>
      <c r="AA94" s="33">
        <f>IF(Z94&lt;=0,0,MIN('Your debts'!$E$10,Z94))</f>
        <v/>
      </c>
      <c r="AB94" s="33">
        <f>Z94-AA94</f>
        <v/>
      </c>
      <c r="AC94" s="33">
        <f>IF('Your debts'!$F$10="",0,MIN(AB94,MAX(0,MAX(0,'Your debts'!$C$19-(G94+L94+Q94+V94+AA94+AF94+AK94+AP94+AU94+AZ94))-(IF(AND('Your debts'!$F$6&lt;&gt;"",'Your debts'!$F$10&lt;&gt;"",'Your debts'!$F$6&lt;'Your debts'!$F$10),H94,0)+IF(AND('Your debts'!$F$7&lt;&gt;"",'Your debts'!$F$10&lt;&gt;"",'Your debts'!$F$7&lt;'Your debts'!$F$10),M94,0)+IF(AND('Your debts'!$F$8&lt;&gt;"",'Your debts'!$F$10&lt;&gt;"",'Your debts'!$F$8&lt;'Your debts'!$F$10),R94,0)+IF(AND('Your debts'!$F$9&lt;&gt;"",'Your debts'!$F$10&lt;&gt;"",'Your debts'!$F$9&lt;'Your debts'!$F$10),W94,0)+IF(AND('Your debts'!$F$11&lt;&gt;"",'Your debts'!$F$10&lt;&gt;"",'Your debts'!$F$11&lt;'Your debts'!$F$10),AG94,0)+IF(AND('Your debts'!$F$12&lt;&gt;"",'Your debts'!$F$10&lt;&gt;"",'Your debts'!$F$12&lt;'Your debts'!$F$10),AL94,0)+IF(AND('Your debts'!$F$13&lt;&gt;"",'Your debts'!$F$10&lt;&gt;"",'Your debts'!$F$13&lt;'Your debts'!$F$10),AQ94,0)+IF(AND('Your debts'!$F$14&lt;&gt;"",'Your debts'!$F$10&lt;&gt;"",'Your debts'!$F$14&lt;'Your debts'!$F$10),AV94,0)+IF(AND('Your debts'!$F$15&lt;&gt;"",'Your debts'!$F$10&lt;&gt;"",'Your debts'!$F$15&lt;'Your debts'!$F$10),BA94,0)))))</f>
        <v/>
      </c>
      <c r="AD94" s="33">
        <f>AB94-AC94</f>
        <v/>
      </c>
      <c r="AE94" s="33">
        <f>IF(AI93&lt;=0,0,ROUND(AI93*(1+'Your debts'!$D$11/1200),2))</f>
        <v/>
      </c>
      <c r="AF94" s="33">
        <f>IF(AE94&lt;=0,0,MIN('Your debts'!$E$11,AE94))</f>
        <v/>
      </c>
      <c r="AG94" s="33">
        <f>AE94-AF94</f>
        <v/>
      </c>
      <c r="AH94" s="33">
        <f>IF('Your debts'!$F$11="",0,MIN(AG94,MAX(0,MAX(0,'Your debts'!$C$19-(G94+L94+Q94+V94+AA94+AF94+AK94+AP94+AU94+AZ94))-(IF(AND('Your debts'!$F$6&lt;&gt;"",'Your debts'!$F$11&lt;&gt;"",'Your debts'!$F$6&lt;'Your debts'!$F$11),H94,0)+IF(AND('Your debts'!$F$7&lt;&gt;"",'Your debts'!$F$11&lt;&gt;"",'Your debts'!$F$7&lt;'Your debts'!$F$11),M94,0)+IF(AND('Your debts'!$F$8&lt;&gt;"",'Your debts'!$F$11&lt;&gt;"",'Your debts'!$F$8&lt;'Your debts'!$F$11),R94,0)+IF(AND('Your debts'!$F$9&lt;&gt;"",'Your debts'!$F$11&lt;&gt;"",'Your debts'!$F$9&lt;'Your debts'!$F$11),W94,0)+IF(AND('Your debts'!$F$10&lt;&gt;"",'Your debts'!$F$11&lt;&gt;"",'Your debts'!$F$10&lt;'Your debts'!$F$11),AB94,0)+IF(AND('Your debts'!$F$12&lt;&gt;"",'Your debts'!$F$11&lt;&gt;"",'Your debts'!$F$12&lt;'Your debts'!$F$11),AL94,0)+IF(AND('Your debts'!$F$13&lt;&gt;"",'Your debts'!$F$11&lt;&gt;"",'Your debts'!$F$13&lt;'Your debts'!$F$11),AQ94,0)+IF(AND('Your debts'!$F$14&lt;&gt;"",'Your debts'!$F$11&lt;&gt;"",'Your debts'!$F$14&lt;'Your debts'!$F$11),AV94,0)+IF(AND('Your debts'!$F$15&lt;&gt;"",'Your debts'!$F$11&lt;&gt;"",'Your debts'!$F$15&lt;'Your debts'!$F$11),BA94,0)))))</f>
        <v/>
      </c>
      <c r="AI94" s="33">
        <f>AG94-AH94</f>
        <v/>
      </c>
      <c r="AJ94" s="33">
        <f>IF(AN93&lt;=0,0,ROUND(AN93*(1+'Your debts'!$D$12/1200),2))</f>
        <v/>
      </c>
      <c r="AK94" s="33">
        <f>IF(AJ94&lt;=0,0,MIN('Your debts'!$E$12,AJ94))</f>
        <v/>
      </c>
      <c r="AL94" s="33">
        <f>AJ94-AK94</f>
        <v/>
      </c>
      <c r="AM94" s="33">
        <f>IF('Your debts'!$F$12="",0,MIN(AL94,MAX(0,MAX(0,'Your debts'!$C$19-(G94+L94+Q94+V94+AA94+AF94+AK94+AP94+AU94+AZ94))-(IF(AND('Your debts'!$F$6&lt;&gt;"",'Your debts'!$F$12&lt;&gt;"",'Your debts'!$F$6&lt;'Your debts'!$F$12),H94,0)+IF(AND('Your debts'!$F$7&lt;&gt;"",'Your debts'!$F$12&lt;&gt;"",'Your debts'!$F$7&lt;'Your debts'!$F$12),M94,0)+IF(AND('Your debts'!$F$8&lt;&gt;"",'Your debts'!$F$12&lt;&gt;"",'Your debts'!$F$8&lt;'Your debts'!$F$12),R94,0)+IF(AND('Your debts'!$F$9&lt;&gt;"",'Your debts'!$F$12&lt;&gt;"",'Your debts'!$F$9&lt;'Your debts'!$F$12),W94,0)+IF(AND('Your debts'!$F$10&lt;&gt;"",'Your debts'!$F$12&lt;&gt;"",'Your debts'!$F$10&lt;'Your debts'!$F$12),AB94,0)+IF(AND('Your debts'!$F$11&lt;&gt;"",'Your debts'!$F$12&lt;&gt;"",'Your debts'!$F$11&lt;'Your debts'!$F$12),AG94,0)+IF(AND('Your debts'!$F$13&lt;&gt;"",'Your debts'!$F$12&lt;&gt;"",'Your debts'!$F$13&lt;'Your debts'!$F$12),AQ94,0)+IF(AND('Your debts'!$F$14&lt;&gt;"",'Your debts'!$F$12&lt;&gt;"",'Your debts'!$F$14&lt;'Your debts'!$F$12),AV94,0)+IF(AND('Your debts'!$F$15&lt;&gt;"",'Your debts'!$F$12&lt;&gt;"",'Your debts'!$F$15&lt;'Your debts'!$F$12),BA94,0)))))</f>
        <v/>
      </c>
      <c r="AN94" s="33">
        <f>AL94-AM94</f>
        <v/>
      </c>
      <c r="AO94" s="33">
        <f>IF(AS93&lt;=0,0,ROUND(AS93*(1+'Your debts'!$D$13/1200),2))</f>
        <v/>
      </c>
      <c r="AP94" s="33">
        <f>IF(AO94&lt;=0,0,MIN('Your debts'!$E$13,AO94))</f>
        <v/>
      </c>
      <c r="AQ94" s="33">
        <f>AO94-AP94</f>
        <v/>
      </c>
      <c r="AR94" s="33">
        <f>IF('Your debts'!$F$13="",0,MIN(AQ94,MAX(0,MAX(0,'Your debts'!$C$19-(G94+L94+Q94+V94+AA94+AF94+AK94+AP94+AU94+AZ94))-(IF(AND('Your debts'!$F$6&lt;&gt;"",'Your debts'!$F$13&lt;&gt;"",'Your debts'!$F$6&lt;'Your debts'!$F$13),H94,0)+IF(AND('Your debts'!$F$7&lt;&gt;"",'Your debts'!$F$13&lt;&gt;"",'Your debts'!$F$7&lt;'Your debts'!$F$13),M94,0)+IF(AND('Your debts'!$F$8&lt;&gt;"",'Your debts'!$F$13&lt;&gt;"",'Your debts'!$F$8&lt;'Your debts'!$F$13),R94,0)+IF(AND('Your debts'!$F$9&lt;&gt;"",'Your debts'!$F$13&lt;&gt;"",'Your debts'!$F$9&lt;'Your debts'!$F$13),W94,0)+IF(AND('Your debts'!$F$10&lt;&gt;"",'Your debts'!$F$13&lt;&gt;"",'Your debts'!$F$10&lt;'Your debts'!$F$13),AB94,0)+IF(AND('Your debts'!$F$11&lt;&gt;"",'Your debts'!$F$13&lt;&gt;"",'Your debts'!$F$11&lt;'Your debts'!$F$13),AG94,0)+IF(AND('Your debts'!$F$12&lt;&gt;"",'Your debts'!$F$13&lt;&gt;"",'Your debts'!$F$12&lt;'Your debts'!$F$13),AL94,0)+IF(AND('Your debts'!$F$14&lt;&gt;"",'Your debts'!$F$13&lt;&gt;"",'Your debts'!$F$14&lt;'Your debts'!$F$13),AV94,0)+IF(AND('Your debts'!$F$15&lt;&gt;"",'Your debts'!$F$13&lt;&gt;"",'Your debts'!$F$15&lt;'Your debts'!$F$13),BA94,0)))))</f>
        <v/>
      </c>
      <c r="AS94" s="33">
        <f>AQ94-AR94</f>
        <v/>
      </c>
      <c r="AT94" s="33">
        <f>IF(AX93&lt;=0,0,ROUND(AX93*(1+'Your debts'!$D$14/1200),2))</f>
        <v/>
      </c>
      <c r="AU94" s="33">
        <f>IF(AT94&lt;=0,0,MIN('Your debts'!$E$14,AT94))</f>
        <v/>
      </c>
      <c r="AV94" s="33">
        <f>AT94-AU94</f>
        <v/>
      </c>
      <c r="AW94" s="33">
        <f>IF('Your debts'!$F$14="",0,MIN(AV94,MAX(0,MAX(0,'Your debts'!$C$19-(G94+L94+Q94+V94+AA94+AF94+AK94+AP94+AU94+AZ94))-(IF(AND('Your debts'!$F$6&lt;&gt;"",'Your debts'!$F$14&lt;&gt;"",'Your debts'!$F$6&lt;'Your debts'!$F$14),H94,0)+IF(AND('Your debts'!$F$7&lt;&gt;"",'Your debts'!$F$14&lt;&gt;"",'Your debts'!$F$7&lt;'Your debts'!$F$14),M94,0)+IF(AND('Your debts'!$F$8&lt;&gt;"",'Your debts'!$F$14&lt;&gt;"",'Your debts'!$F$8&lt;'Your debts'!$F$14),R94,0)+IF(AND('Your debts'!$F$9&lt;&gt;"",'Your debts'!$F$14&lt;&gt;"",'Your debts'!$F$9&lt;'Your debts'!$F$14),W94,0)+IF(AND('Your debts'!$F$10&lt;&gt;"",'Your debts'!$F$14&lt;&gt;"",'Your debts'!$F$10&lt;'Your debts'!$F$14),AB94,0)+IF(AND('Your debts'!$F$11&lt;&gt;"",'Your debts'!$F$14&lt;&gt;"",'Your debts'!$F$11&lt;'Your debts'!$F$14),AG94,0)+IF(AND('Your debts'!$F$12&lt;&gt;"",'Your debts'!$F$14&lt;&gt;"",'Your debts'!$F$12&lt;'Your debts'!$F$14),AL94,0)+IF(AND('Your debts'!$F$13&lt;&gt;"",'Your debts'!$F$14&lt;&gt;"",'Your debts'!$F$13&lt;'Your debts'!$F$14),AQ94,0)+IF(AND('Your debts'!$F$15&lt;&gt;"",'Your debts'!$F$14&lt;&gt;"",'Your debts'!$F$15&lt;'Your debts'!$F$14),BA94,0)))))</f>
        <v/>
      </c>
      <c r="AX94" s="33">
        <f>AV94-AW94</f>
        <v/>
      </c>
      <c r="AY94" s="33">
        <f>IF(BC93&lt;=0,0,ROUND(BC93*(1+'Your debts'!$D$15/1200),2))</f>
        <v/>
      </c>
      <c r="AZ94" s="33">
        <f>IF(AY94&lt;=0,0,MIN('Your debts'!$E$15,AY94))</f>
        <v/>
      </c>
      <c r="BA94" s="33">
        <f>AY94-AZ94</f>
        <v/>
      </c>
      <c r="BB94" s="33">
        <f>IF('Your debts'!$F$15="",0,MIN(BA94,MAX(0,MAX(0,'Your debts'!$C$19-(G94+L94+Q94+V94+AA94+AF94+AK94+AP94+AU94+AZ94))-(IF(AND('Your debts'!$F$6&lt;&gt;"",'Your debts'!$F$15&lt;&gt;"",'Your debts'!$F$6&lt;'Your debts'!$F$15),H94,0)+IF(AND('Your debts'!$F$7&lt;&gt;"",'Your debts'!$F$15&lt;&gt;"",'Your debts'!$F$7&lt;'Your debts'!$F$15),M94,0)+IF(AND('Your debts'!$F$8&lt;&gt;"",'Your debts'!$F$15&lt;&gt;"",'Your debts'!$F$8&lt;'Your debts'!$F$15),R94,0)+IF(AND('Your debts'!$F$9&lt;&gt;"",'Your debts'!$F$15&lt;&gt;"",'Your debts'!$F$9&lt;'Your debts'!$F$15),W94,0)+IF(AND('Your debts'!$F$10&lt;&gt;"",'Your debts'!$F$15&lt;&gt;"",'Your debts'!$F$10&lt;'Your debts'!$F$15),AB94,0)+IF(AND('Your debts'!$F$11&lt;&gt;"",'Your debts'!$F$15&lt;&gt;"",'Your debts'!$F$11&lt;'Your debts'!$F$15),AG94,0)+IF(AND('Your debts'!$F$12&lt;&gt;"",'Your debts'!$F$15&lt;&gt;"",'Your debts'!$F$12&lt;'Your debts'!$F$15),AL94,0)+IF(AND('Your debts'!$F$13&lt;&gt;"",'Your debts'!$F$15&lt;&gt;"",'Your debts'!$F$13&lt;'Your debts'!$F$15),AQ94,0)+IF(AND('Your debts'!$F$14&lt;&gt;"",'Your debts'!$F$15&lt;&gt;"",'Your debts'!$F$14&lt;'Your debts'!$F$15),AV94,0)))))</f>
        <v/>
      </c>
      <c r="BC94" s="33">
        <f>BA94-BB94</f>
        <v/>
      </c>
    </row>
    <row r="95">
      <c r="A95" s="30" t="n">
        <v>80</v>
      </c>
      <c r="B95" s="31">
        <f>EDATE($B$15,80)</f>
        <v/>
      </c>
      <c r="C95" s="32">
        <f>IF(J94&lt;=0,0,F95-J94)+IF(O94&lt;=0,0,K95-O94)+IF(T94&lt;=0,0,P95-T94)+IF(Y94&lt;=0,0,U95-Y94)+IF(AD94&lt;=0,0,Z95-AD94)+IF(AI94&lt;=0,0,AE95-AI94)+IF(AN94&lt;=0,0,AJ95-AN94)+IF(AS94&lt;=0,0,AO95-AS94)+IF(AX94&lt;=0,0,AT95-AX94)+IF(BC94&lt;=0,0,AY95-BC94)</f>
        <v/>
      </c>
      <c r="D95" s="32">
        <f>G95+I95+L95+N95+Q95+S95+V95+X95+AA95+AC95+AF95+AH95+AK95+AM95+AP95+AR95+AU95+AW95+AZ95+BB95</f>
        <v/>
      </c>
      <c r="E95" s="32">
        <f>J95+O95+T95+Y95+AD95+AI95+AN95+AS95+AX95+BC95</f>
        <v/>
      </c>
      <c r="F95" s="33">
        <f>IF(J94&lt;=0,0,ROUND(J94*(1+'Your debts'!$D$6/1200),2))</f>
        <v/>
      </c>
      <c r="G95" s="33">
        <f>IF(F95&lt;=0,0,MIN('Your debts'!$E$6,F95))</f>
        <v/>
      </c>
      <c r="H95" s="33">
        <f>F95-G95</f>
        <v/>
      </c>
      <c r="I95" s="33">
        <f>IF('Your debts'!$F$6="",0,MIN(H95,MAX(0,MAX(0,'Your debts'!$C$19-(G95+L95+Q95+V95+AA95+AF95+AK95+AP95+AU95+AZ95))-(IF(AND('Your debts'!$F$7&lt;&gt;"",'Your debts'!$F$6&lt;&gt;"",'Your debts'!$F$7&lt;'Your debts'!$F$6),M95,0)+IF(AND('Your debts'!$F$8&lt;&gt;"",'Your debts'!$F$6&lt;&gt;"",'Your debts'!$F$8&lt;'Your debts'!$F$6),R95,0)+IF(AND('Your debts'!$F$9&lt;&gt;"",'Your debts'!$F$6&lt;&gt;"",'Your debts'!$F$9&lt;'Your debts'!$F$6),W95,0)+IF(AND('Your debts'!$F$10&lt;&gt;"",'Your debts'!$F$6&lt;&gt;"",'Your debts'!$F$10&lt;'Your debts'!$F$6),AB95,0)+IF(AND('Your debts'!$F$11&lt;&gt;"",'Your debts'!$F$6&lt;&gt;"",'Your debts'!$F$11&lt;'Your debts'!$F$6),AG95,0)+IF(AND('Your debts'!$F$12&lt;&gt;"",'Your debts'!$F$6&lt;&gt;"",'Your debts'!$F$12&lt;'Your debts'!$F$6),AL95,0)+IF(AND('Your debts'!$F$13&lt;&gt;"",'Your debts'!$F$6&lt;&gt;"",'Your debts'!$F$13&lt;'Your debts'!$F$6),AQ95,0)+IF(AND('Your debts'!$F$14&lt;&gt;"",'Your debts'!$F$6&lt;&gt;"",'Your debts'!$F$14&lt;'Your debts'!$F$6),AV95,0)+IF(AND('Your debts'!$F$15&lt;&gt;"",'Your debts'!$F$6&lt;&gt;"",'Your debts'!$F$15&lt;'Your debts'!$F$6),BA95,0)))))</f>
        <v/>
      </c>
      <c r="J95" s="33">
        <f>H95-I95</f>
        <v/>
      </c>
      <c r="K95" s="33">
        <f>IF(O94&lt;=0,0,ROUND(O94*(1+'Your debts'!$D$7/1200),2))</f>
        <v/>
      </c>
      <c r="L95" s="33">
        <f>IF(K95&lt;=0,0,MIN('Your debts'!$E$7,K95))</f>
        <v/>
      </c>
      <c r="M95" s="33">
        <f>K95-L95</f>
        <v/>
      </c>
      <c r="N95" s="33">
        <f>IF('Your debts'!$F$7="",0,MIN(M95,MAX(0,MAX(0,'Your debts'!$C$19-(G95+L95+Q95+V95+AA95+AF95+AK95+AP95+AU95+AZ95))-(IF(AND('Your debts'!$F$6&lt;&gt;"",'Your debts'!$F$7&lt;&gt;"",'Your debts'!$F$6&lt;'Your debts'!$F$7),H95,0)+IF(AND('Your debts'!$F$8&lt;&gt;"",'Your debts'!$F$7&lt;&gt;"",'Your debts'!$F$8&lt;'Your debts'!$F$7),R95,0)+IF(AND('Your debts'!$F$9&lt;&gt;"",'Your debts'!$F$7&lt;&gt;"",'Your debts'!$F$9&lt;'Your debts'!$F$7),W95,0)+IF(AND('Your debts'!$F$10&lt;&gt;"",'Your debts'!$F$7&lt;&gt;"",'Your debts'!$F$10&lt;'Your debts'!$F$7),AB95,0)+IF(AND('Your debts'!$F$11&lt;&gt;"",'Your debts'!$F$7&lt;&gt;"",'Your debts'!$F$11&lt;'Your debts'!$F$7),AG95,0)+IF(AND('Your debts'!$F$12&lt;&gt;"",'Your debts'!$F$7&lt;&gt;"",'Your debts'!$F$12&lt;'Your debts'!$F$7),AL95,0)+IF(AND('Your debts'!$F$13&lt;&gt;"",'Your debts'!$F$7&lt;&gt;"",'Your debts'!$F$13&lt;'Your debts'!$F$7),AQ95,0)+IF(AND('Your debts'!$F$14&lt;&gt;"",'Your debts'!$F$7&lt;&gt;"",'Your debts'!$F$14&lt;'Your debts'!$F$7),AV95,0)+IF(AND('Your debts'!$F$15&lt;&gt;"",'Your debts'!$F$7&lt;&gt;"",'Your debts'!$F$15&lt;'Your debts'!$F$7),BA95,0)))))</f>
        <v/>
      </c>
      <c r="O95" s="33">
        <f>M95-N95</f>
        <v/>
      </c>
      <c r="P95" s="33">
        <f>IF(T94&lt;=0,0,ROUND(T94*(1+'Your debts'!$D$8/1200),2))</f>
        <v/>
      </c>
      <c r="Q95" s="33">
        <f>IF(P95&lt;=0,0,MIN('Your debts'!$E$8,P95))</f>
        <v/>
      </c>
      <c r="R95" s="33">
        <f>P95-Q95</f>
        <v/>
      </c>
      <c r="S95" s="33">
        <f>IF('Your debts'!$F$8="",0,MIN(R95,MAX(0,MAX(0,'Your debts'!$C$19-(G95+L95+Q95+V95+AA95+AF95+AK95+AP95+AU95+AZ95))-(IF(AND('Your debts'!$F$6&lt;&gt;"",'Your debts'!$F$8&lt;&gt;"",'Your debts'!$F$6&lt;'Your debts'!$F$8),H95,0)+IF(AND('Your debts'!$F$7&lt;&gt;"",'Your debts'!$F$8&lt;&gt;"",'Your debts'!$F$7&lt;'Your debts'!$F$8),M95,0)+IF(AND('Your debts'!$F$9&lt;&gt;"",'Your debts'!$F$8&lt;&gt;"",'Your debts'!$F$9&lt;'Your debts'!$F$8),W95,0)+IF(AND('Your debts'!$F$10&lt;&gt;"",'Your debts'!$F$8&lt;&gt;"",'Your debts'!$F$10&lt;'Your debts'!$F$8),AB95,0)+IF(AND('Your debts'!$F$11&lt;&gt;"",'Your debts'!$F$8&lt;&gt;"",'Your debts'!$F$11&lt;'Your debts'!$F$8),AG95,0)+IF(AND('Your debts'!$F$12&lt;&gt;"",'Your debts'!$F$8&lt;&gt;"",'Your debts'!$F$12&lt;'Your debts'!$F$8),AL95,0)+IF(AND('Your debts'!$F$13&lt;&gt;"",'Your debts'!$F$8&lt;&gt;"",'Your debts'!$F$13&lt;'Your debts'!$F$8),AQ95,0)+IF(AND('Your debts'!$F$14&lt;&gt;"",'Your debts'!$F$8&lt;&gt;"",'Your debts'!$F$14&lt;'Your debts'!$F$8),AV95,0)+IF(AND('Your debts'!$F$15&lt;&gt;"",'Your debts'!$F$8&lt;&gt;"",'Your debts'!$F$15&lt;'Your debts'!$F$8),BA95,0)))))</f>
        <v/>
      </c>
      <c r="T95" s="33">
        <f>R95-S95</f>
        <v/>
      </c>
      <c r="U95" s="33">
        <f>IF(Y94&lt;=0,0,ROUND(Y94*(1+'Your debts'!$D$9/1200),2))</f>
        <v/>
      </c>
      <c r="V95" s="33">
        <f>IF(U95&lt;=0,0,MIN('Your debts'!$E$9,U95))</f>
        <v/>
      </c>
      <c r="W95" s="33">
        <f>U95-V95</f>
        <v/>
      </c>
      <c r="X95" s="33">
        <f>IF('Your debts'!$F$9="",0,MIN(W95,MAX(0,MAX(0,'Your debts'!$C$19-(G95+L95+Q95+V95+AA95+AF95+AK95+AP95+AU95+AZ95))-(IF(AND('Your debts'!$F$6&lt;&gt;"",'Your debts'!$F$9&lt;&gt;"",'Your debts'!$F$6&lt;'Your debts'!$F$9),H95,0)+IF(AND('Your debts'!$F$7&lt;&gt;"",'Your debts'!$F$9&lt;&gt;"",'Your debts'!$F$7&lt;'Your debts'!$F$9),M95,0)+IF(AND('Your debts'!$F$8&lt;&gt;"",'Your debts'!$F$9&lt;&gt;"",'Your debts'!$F$8&lt;'Your debts'!$F$9),R95,0)+IF(AND('Your debts'!$F$10&lt;&gt;"",'Your debts'!$F$9&lt;&gt;"",'Your debts'!$F$10&lt;'Your debts'!$F$9),AB95,0)+IF(AND('Your debts'!$F$11&lt;&gt;"",'Your debts'!$F$9&lt;&gt;"",'Your debts'!$F$11&lt;'Your debts'!$F$9),AG95,0)+IF(AND('Your debts'!$F$12&lt;&gt;"",'Your debts'!$F$9&lt;&gt;"",'Your debts'!$F$12&lt;'Your debts'!$F$9),AL95,0)+IF(AND('Your debts'!$F$13&lt;&gt;"",'Your debts'!$F$9&lt;&gt;"",'Your debts'!$F$13&lt;'Your debts'!$F$9),AQ95,0)+IF(AND('Your debts'!$F$14&lt;&gt;"",'Your debts'!$F$9&lt;&gt;"",'Your debts'!$F$14&lt;'Your debts'!$F$9),AV95,0)+IF(AND('Your debts'!$F$15&lt;&gt;"",'Your debts'!$F$9&lt;&gt;"",'Your debts'!$F$15&lt;'Your debts'!$F$9),BA95,0)))))</f>
        <v/>
      </c>
      <c r="Y95" s="33">
        <f>W95-X95</f>
        <v/>
      </c>
      <c r="Z95" s="33">
        <f>IF(AD94&lt;=0,0,ROUND(AD94*(1+'Your debts'!$D$10/1200),2))</f>
        <v/>
      </c>
      <c r="AA95" s="33">
        <f>IF(Z95&lt;=0,0,MIN('Your debts'!$E$10,Z95))</f>
        <v/>
      </c>
      <c r="AB95" s="33">
        <f>Z95-AA95</f>
        <v/>
      </c>
      <c r="AC95" s="33">
        <f>IF('Your debts'!$F$10="",0,MIN(AB95,MAX(0,MAX(0,'Your debts'!$C$19-(G95+L95+Q95+V95+AA95+AF95+AK95+AP95+AU95+AZ95))-(IF(AND('Your debts'!$F$6&lt;&gt;"",'Your debts'!$F$10&lt;&gt;"",'Your debts'!$F$6&lt;'Your debts'!$F$10),H95,0)+IF(AND('Your debts'!$F$7&lt;&gt;"",'Your debts'!$F$10&lt;&gt;"",'Your debts'!$F$7&lt;'Your debts'!$F$10),M95,0)+IF(AND('Your debts'!$F$8&lt;&gt;"",'Your debts'!$F$10&lt;&gt;"",'Your debts'!$F$8&lt;'Your debts'!$F$10),R95,0)+IF(AND('Your debts'!$F$9&lt;&gt;"",'Your debts'!$F$10&lt;&gt;"",'Your debts'!$F$9&lt;'Your debts'!$F$10),W95,0)+IF(AND('Your debts'!$F$11&lt;&gt;"",'Your debts'!$F$10&lt;&gt;"",'Your debts'!$F$11&lt;'Your debts'!$F$10),AG95,0)+IF(AND('Your debts'!$F$12&lt;&gt;"",'Your debts'!$F$10&lt;&gt;"",'Your debts'!$F$12&lt;'Your debts'!$F$10),AL95,0)+IF(AND('Your debts'!$F$13&lt;&gt;"",'Your debts'!$F$10&lt;&gt;"",'Your debts'!$F$13&lt;'Your debts'!$F$10),AQ95,0)+IF(AND('Your debts'!$F$14&lt;&gt;"",'Your debts'!$F$10&lt;&gt;"",'Your debts'!$F$14&lt;'Your debts'!$F$10),AV95,0)+IF(AND('Your debts'!$F$15&lt;&gt;"",'Your debts'!$F$10&lt;&gt;"",'Your debts'!$F$15&lt;'Your debts'!$F$10),BA95,0)))))</f>
        <v/>
      </c>
      <c r="AD95" s="33">
        <f>AB95-AC95</f>
        <v/>
      </c>
      <c r="AE95" s="33">
        <f>IF(AI94&lt;=0,0,ROUND(AI94*(1+'Your debts'!$D$11/1200),2))</f>
        <v/>
      </c>
      <c r="AF95" s="33">
        <f>IF(AE95&lt;=0,0,MIN('Your debts'!$E$11,AE95))</f>
        <v/>
      </c>
      <c r="AG95" s="33">
        <f>AE95-AF95</f>
        <v/>
      </c>
      <c r="AH95" s="33">
        <f>IF('Your debts'!$F$11="",0,MIN(AG95,MAX(0,MAX(0,'Your debts'!$C$19-(G95+L95+Q95+V95+AA95+AF95+AK95+AP95+AU95+AZ95))-(IF(AND('Your debts'!$F$6&lt;&gt;"",'Your debts'!$F$11&lt;&gt;"",'Your debts'!$F$6&lt;'Your debts'!$F$11),H95,0)+IF(AND('Your debts'!$F$7&lt;&gt;"",'Your debts'!$F$11&lt;&gt;"",'Your debts'!$F$7&lt;'Your debts'!$F$11),M95,0)+IF(AND('Your debts'!$F$8&lt;&gt;"",'Your debts'!$F$11&lt;&gt;"",'Your debts'!$F$8&lt;'Your debts'!$F$11),R95,0)+IF(AND('Your debts'!$F$9&lt;&gt;"",'Your debts'!$F$11&lt;&gt;"",'Your debts'!$F$9&lt;'Your debts'!$F$11),W95,0)+IF(AND('Your debts'!$F$10&lt;&gt;"",'Your debts'!$F$11&lt;&gt;"",'Your debts'!$F$10&lt;'Your debts'!$F$11),AB95,0)+IF(AND('Your debts'!$F$12&lt;&gt;"",'Your debts'!$F$11&lt;&gt;"",'Your debts'!$F$12&lt;'Your debts'!$F$11),AL95,0)+IF(AND('Your debts'!$F$13&lt;&gt;"",'Your debts'!$F$11&lt;&gt;"",'Your debts'!$F$13&lt;'Your debts'!$F$11),AQ95,0)+IF(AND('Your debts'!$F$14&lt;&gt;"",'Your debts'!$F$11&lt;&gt;"",'Your debts'!$F$14&lt;'Your debts'!$F$11),AV95,0)+IF(AND('Your debts'!$F$15&lt;&gt;"",'Your debts'!$F$11&lt;&gt;"",'Your debts'!$F$15&lt;'Your debts'!$F$11),BA95,0)))))</f>
        <v/>
      </c>
      <c r="AI95" s="33">
        <f>AG95-AH95</f>
        <v/>
      </c>
      <c r="AJ95" s="33">
        <f>IF(AN94&lt;=0,0,ROUND(AN94*(1+'Your debts'!$D$12/1200),2))</f>
        <v/>
      </c>
      <c r="AK95" s="33">
        <f>IF(AJ95&lt;=0,0,MIN('Your debts'!$E$12,AJ95))</f>
        <v/>
      </c>
      <c r="AL95" s="33">
        <f>AJ95-AK95</f>
        <v/>
      </c>
      <c r="AM95" s="33">
        <f>IF('Your debts'!$F$12="",0,MIN(AL95,MAX(0,MAX(0,'Your debts'!$C$19-(G95+L95+Q95+V95+AA95+AF95+AK95+AP95+AU95+AZ95))-(IF(AND('Your debts'!$F$6&lt;&gt;"",'Your debts'!$F$12&lt;&gt;"",'Your debts'!$F$6&lt;'Your debts'!$F$12),H95,0)+IF(AND('Your debts'!$F$7&lt;&gt;"",'Your debts'!$F$12&lt;&gt;"",'Your debts'!$F$7&lt;'Your debts'!$F$12),M95,0)+IF(AND('Your debts'!$F$8&lt;&gt;"",'Your debts'!$F$12&lt;&gt;"",'Your debts'!$F$8&lt;'Your debts'!$F$12),R95,0)+IF(AND('Your debts'!$F$9&lt;&gt;"",'Your debts'!$F$12&lt;&gt;"",'Your debts'!$F$9&lt;'Your debts'!$F$12),W95,0)+IF(AND('Your debts'!$F$10&lt;&gt;"",'Your debts'!$F$12&lt;&gt;"",'Your debts'!$F$10&lt;'Your debts'!$F$12),AB95,0)+IF(AND('Your debts'!$F$11&lt;&gt;"",'Your debts'!$F$12&lt;&gt;"",'Your debts'!$F$11&lt;'Your debts'!$F$12),AG95,0)+IF(AND('Your debts'!$F$13&lt;&gt;"",'Your debts'!$F$12&lt;&gt;"",'Your debts'!$F$13&lt;'Your debts'!$F$12),AQ95,0)+IF(AND('Your debts'!$F$14&lt;&gt;"",'Your debts'!$F$12&lt;&gt;"",'Your debts'!$F$14&lt;'Your debts'!$F$12),AV95,0)+IF(AND('Your debts'!$F$15&lt;&gt;"",'Your debts'!$F$12&lt;&gt;"",'Your debts'!$F$15&lt;'Your debts'!$F$12),BA95,0)))))</f>
        <v/>
      </c>
      <c r="AN95" s="33">
        <f>AL95-AM95</f>
        <v/>
      </c>
      <c r="AO95" s="33">
        <f>IF(AS94&lt;=0,0,ROUND(AS94*(1+'Your debts'!$D$13/1200),2))</f>
        <v/>
      </c>
      <c r="AP95" s="33">
        <f>IF(AO95&lt;=0,0,MIN('Your debts'!$E$13,AO95))</f>
        <v/>
      </c>
      <c r="AQ95" s="33">
        <f>AO95-AP95</f>
        <v/>
      </c>
      <c r="AR95" s="33">
        <f>IF('Your debts'!$F$13="",0,MIN(AQ95,MAX(0,MAX(0,'Your debts'!$C$19-(G95+L95+Q95+V95+AA95+AF95+AK95+AP95+AU95+AZ95))-(IF(AND('Your debts'!$F$6&lt;&gt;"",'Your debts'!$F$13&lt;&gt;"",'Your debts'!$F$6&lt;'Your debts'!$F$13),H95,0)+IF(AND('Your debts'!$F$7&lt;&gt;"",'Your debts'!$F$13&lt;&gt;"",'Your debts'!$F$7&lt;'Your debts'!$F$13),M95,0)+IF(AND('Your debts'!$F$8&lt;&gt;"",'Your debts'!$F$13&lt;&gt;"",'Your debts'!$F$8&lt;'Your debts'!$F$13),R95,0)+IF(AND('Your debts'!$F$9&lt;&gt;"",'Your debts'!$F$13&lt;&gt;"",'Your debts'!$F$9&lt;'Your debts'!$F$13),W95,0)+IF(AND('Your debts'!$F$10&lt;&gt;"",'Your debts'!$F$13&lt;&gt;"",'Your debts'!$F$10&lt;'Your debts'!$F$13),AB95,0)+IF(AND('Your debts'!$F$11&lt;&gt;"",'Your debts'!$F$13&lt;&gt;"",'Your debts'!$F$11&lt;'Your debts'!$F$13),AG95,0)+IF(AND('Your debts'!$F$12&lt;&gt;"",'Your debts'!$F$13&lt;&gt;"",'Your debts'!$F$12&lt;'Your debts'!$F$13),AL95,0)+IF(AND('Your debts'!$F$14&lt;&gt;"",'Your debts'!$F$13&lt;&gt;"",'Your debts'!$F$14&lt;'Your debts'!$F$13),AV95,0)+IF(AND('Your debts'!$F$15&lt;&gt;"",'Your debts'!$F$13&lt;&gt;"",'Your debts'!$F$15&lt;'Your debts'!$F$13),BA95,0)))))</f>
        <v/>
      </c>
      <c r="AS95" s="33">
        <f>AQ95-AR95</f>
        <v/>
      </c>
      <c r="AT95" s="33">
        <f>IF(AX94&lt;=0,0,ROUND(AX94*(1+'Your debts'!$D$14/1200),2))</f>
        <v/>
      </c>
      <c r="AU95" s="33">
        <f>IF(AT95&lt;=0,0,MIN('Your debts'!$E$14,AT95))</f>
        <v/>
      </c>
      <c r="AV95" s="33">
        <f>AT95-AU95</f>
        <v/>
      </c>
      <c r="AW95" s="33">
        <f>IF('Your debts'!$F$14="",0,MIN(AV95,MAX(0,MAX(0,'Your debts'!$C$19-(G95+L95+Q95+V95+AA95+AF95+AK95+AP95+AU95+AZ95))-(IF(AND('Your debts'!$F$6&lt;&gt;"",'Your debts'!$F$14&lt;&gt;"",'Your debts'!$F$6&lt;'Your debts'!$F$14),H95,0)+IF(AND('Your debts'!$F$7&lt;&gt;"",'Your debts'!$F$14&lt;&gt;"",'Your debts'!$F$7&lt;'Your debts'!$F$14),M95,0)+IF(AND('Your debts'!$F$8&lt;&gt;"",'Your debts'!$F$14&lt;&gt;"",'Your debts'!$F$8&lt;'Your debts'!$F$14),R95,0)+IF(AND('Your debts'!$F$9&lt;&gt;"",'Your debts'!$F$14&lt;&gt;"",'Your debts'!$F$9&lt;'Your debts'!$F$14),W95,0)+IF(AND('Your debts'!$F$10&lt;&gt;"",'Your debts'!$F$14&lt;&gt;"",'Your debts'!$F$10&lt;'Your debts'!$F$14),AB95,0)+IF(AND('Your debts'!$F$11&lt;&gt;"",'Your debts'!$F$14&lt;&gt;"",'Your debts'!$F$11&lt;'Your debts'!$F$14),AG95,0)+IF(AND('Your debts'!$F$12&lt;&gt;"",'Your debts'!$F$14&lt;&gt;"",'Your debts'!$F$12&lt;'Your debts'!$F$14),AL95,0)+IF(AND('Your debts'!$F$13&lt;&gt;"",'Your debts'!$F$14&lt;&gt;"",'Your debts'!$F$13&lt;'Your debts'!$F$14),AQ95,0)+IF(AND('Your debts'!$F$15&lt;&gt;"",'Your debts'!$F$14&lt;&gt;"",'Your debts'!$F$15&lt;'Your debts'!$F$14),BA95,0)))))</f>
        <v/>
      </c>
      <c r="AX95" s="33">
        <f>AV95-AW95</f>
        <v/>
      </c>
      <c r="AY95" s="33">
        <f>IF(BC94&lt;=0,0,ROUND(BC94*(1+'Your debts'!$D$15/1200),2))</f>
        <v/>
      </c>
      <c r="AZ95" s="33">
        <f>IF(AY95&lt;=0,0,MIN('Your debts'!$E$15,AY95))</f>
        <v/>
      </c>
      <c r="BA95" s="33">
        <f>AY95-AZ95</f>
        <v/>
      </c>
      <c r="BB95" s="33">
        <f>IF('Your debts'!$F$15="",0,MIN(BA95,MAX(0,MAX(0,'Your debts'!$C$19-(G95+L95+Q95+V95+AA95+AF95+AK95+AP95+AU95+AZ95))-(IF(AND('Your debts'!$F$6&lt;&gt;"",'Your debts'!$F$15&lt;&gt;"",'Your debts'!$F$6&lt;'Your debts'!$F$15),H95,0)+IF(AND('Your debts'!$F$7&lt;&gt;"",'Your debts'!$F$15&lt;&gt;"",'Your debts'!$F$7&lt;'Your debts'!$F$15),M95,0)+IF(AND('Your debts'!$F$8&lt;&gt;"",'Your debts'!$F$15&lt;&gt;"",'Your debts'!$F$8&lt;'Your debts'!$F$15),R95,0)+IF(AND('Your debts'!$F$9&lt;&gt;"",'Your debts'!$F$15&lt;&gt;"",'Your debts'!$F$9&lt;'Your debts'!$F$15),W95,0)+IF(AND('Your debts'!$F$10&lt;&gt;"",'Your debts'!$F$15&lt;&gt;"",'Your debts'!$F$10&lt;'Your debts'!$F$15),AB95,0)+IF(AND('Your debts'!$F$11&lt;&gt;"",'Your debts'!$F$15&lt;&gt;"",'Your debts'!$F$11&lt;'Your debts'!$F$15),AG95,0)+IF(AND('Your debts'!$F$12&lt;&gt;"",'Your debts'!$F$15&lt;&gt;"",'Your debts'!$F$12&lt;'Your debts'!$F$15),AL95,0)+IF(AND('Your debts'!$F$13&lt;&gt;"",'Your debts'!$F$15&lt;&gt;"",'Your debts'!$F$13&lt;'Your debts'!$F$15),AQ95,0)+IF(AND('Your debts'!$F$14&lt;&gt;"",'Your debts'!$F$15&lt;&gt;"",'Your debts'!$F$14&lt;'Your debts'!$F$15),AV95,0)))))</f>
        <v/>
      </c>
      <c r="BC95" s="33">
        <f>BA95-BB95</f>
        <v/>
      </c>
    </row>
    <row r="96">
      <c r="A96" s="30" t="n">
        <v>81</v>
      </c>
      <c r="B96" s="31">
        <f>EDATE($B$15,81)</f>
        <v/>
      </c>
      <c r="C96" s="32">
        <f>IF(J95&lt;=0,0,F96-J95)+IF(O95&lt;=0,0,K96-O95)+IF(T95&lt;=0,0,P96-T95)+IF(Y95&lt;=0,0,U96-Y95)+IF(AD95&lt;=0,0,Z96-AD95)+IF(AI95&lt;=0,0,AE96-AI95)+IF(AN95&lt;=0,0,AJ96-AN95)+IF(AS95&lt;=0,0,AO96-AS95)+IF(AX95&lt;=0,0,AT96-AX95)+IF(BC95&lt;=0,0,AY96-BC95)</f>
        <v/>
      </c>
      <c r="D96" s="32">
        <f>G96+I96+L96+N96+Q96+S96+V96+X96+AA96+AC96+AF96+AH96+AK96+AM96+AP96+AR96+AU96+AW96+AZ96+BB96</f>
        <v/>
      </c>
      <c r="E96" s="32">
        <f>J96+O96+T96+Y96+AD96+AI96+AN96+AS96+AX96+BC96</f>
        <v/>
      </c>
      <c r="F96" s="33">
        <f>IF(J95&lt;=0,0,ROUND(J95*(1+'Your debts'!$D$6/1200),2))</f>
        <v/>
      </c>
      <c r="G96" s="33">
        <f>IF(F96&lt;=0,0,MIN('Your debts'!$E$6,F96))</f>
        <v/>
      </c>
      <c r="H96" s="33">
        <f>F96-G96</f>
        <v/>
      </c>
      <c r="I96" s="33">
        <f>IF('Your debts'!$F$6="",0,MIN(H96,MAX(0,MAX(0,'Your debts'!$C$19-(G96+L96+Q96+V96+AA96+AF96+AK96+AP96+AU96+AZ96))-(IF(AND('Your debts'!$F$7&lt;&gt;"",'Your debts'!$F$6&lt;&gt;"",'Your debts'!$F$7&lt;'Your debts'!$F$6),M96,0)+IF(AND('Your debts'!$F$8&lt;&gt;"",'Your debts'!$F$6&lt;&gt;"",'Your debts'!$F$8&lt;'Your debts'!$F$6),R96,0)+IF(AND('Your debts'!$F$9&lt;&gt;"",'Your debts'!$F$6&lt;&gt;"",'Your debts'!$F$9&lt;'Your debts'!$F$6),W96,0)+IF(AND('Your debts'!$F$10&lt;&gt;"",'Your debts'!$F$6&lt;&gt;"",'Your debts'!$F$10&lt;'Your debts'!$F$6),AB96,0)+IF(AND('Your debts'!$F$11&lt;&gt;"",'Your debts'!$F$6&lt;&gt;"",'Your debts'!$F$11&lt;'Your debts'!$F$6),AG96,0)+IF(AND('Your debts'!$F$12&lt;&gt;"",'Your debts'!$F$6&lt;&gt;"",'Your debts'!$F$12&lt;'Your debts'!$F$6),AL96,0)+IF(AND('Your debts'!$F$13&lt;&gt;"",'Your debts'!$F$6&lt;&gt;"",'Your debts'!$F$13&lt;'Your debts'!$F$6),AQ96,0)+IF(AND('Your debts'!$F$14&lt;&gt;"",'Your debts'!$F$6&lt;&gt;"",'Your debts'!$F$14&lt;'Your debts'!$F$6),AV96,0)+IF(AND('Your debts'!$F$15&lt;&gt;"",'Your debts'!$F$6&lt;&gt;"",'Your debts'!$F$15&lt;'Your debts'!$F$6),BA96,0)))))</f>
        <v/>
      </c>
      <c r="J96" s="33">
        <f>H96-I96</f>
        <v/>
      </c>
      <c r="K96" s="33">
        <f>IF(O95&lt;=0,0,ROUND(O95*(1+'Your debts'!$D$7/1200),2))</f>
        <v/>
      </c>
      <c r="L96" s="33">
        <f>IF(K96&lt;=0,0,MIN('Your debts'!$E$7,K96))</f>
        <v/>
      </c>
      <c r="M96" s="33">
        <f>K96-L96</f>
        <v/>
      </c>
      <c r="N96" s="33">
        <f>IF('Your debts'!$F$7="",0,MIN(M96,MAX(0,MAX(0,'Your debts'!$C$19-(G96+L96+Q96+V96+AA96+AF96+AK96+AP96+AU96+AZ96))-(IF(AND('Your debts'!$F$6&lt;&gt;"",'Your debts'!$F$7&lt;&gt;"",'Your debts'!$F$6&lt;'Your debts'!$F$7),H96,0)+IF(AND('Your debts'!$F$8&lt;&gt;"",'Your debts'!$F$7&lt;&gt;"",'Your debts'!$F$8&lt;'Your debts'!$F$7),R96,0)+IF(AND('Your debts'!$F$9&lt;&gt;"",'Your debts'!$F$7&lt;&gt;"",'Your debts'!$F$9&lt;'Your debts'!$F$7),W96,0)+IF(AND('Your debts'!$F$10&lt;&gt;"",'Your debts'!$F$7&lt;&gt;"",'Your debts'!$F$10&lt;'Your debts'!$F$7),AB96,0)+IF(AND('Your debts'!$F$11&lt;&gt;"",'Your debts'!$F$7&lt;&gt;"",'Your debts'!$F$11&lt;'Your debts'!$F$7),AG96,0)+IF(AND('Your debts'!$F$12&lt;&gt;"",'Your debts'!$F$7&lt;&gt;"",'Your debts'!$F$12&lt;'Your debts'!$F$7),AL96,0)+IF(AND('Your debts'!$F$13&lt;&gt;"",'Your debts'!$F$7&lt;&gt;"",'Your debts'!$F$13&lt;'Your debts'!$F$7),AQ96,0)+IF(AND('Your debts'!$F$14&lt;&gt;"",'Your debts'!$F$7&lt;&gt;"",'Your debts'!$F$14&lt;'Your debts'!$F$7),AV96,0)+IF(AND('Your debts'!$F$15&lt;&gt;"",'Your debts'!$F$7&lt;&gt;"",'Your debts'!$F$15&lt;'Your debts'!$F$7),BA96,0)))))</f>
        <v/>
      </c>
      <c r="O96" s="33">
        <f>M96-N96</f>
        <v/>
      </c>
      <c r="P96" s="33">
        <f>IF(T95&lt;=0,0,ROUND(T95*(1+'Your debts'!$D$8/1200),2))</f>
        <v/>
      </c>
      <c r="Q96" s="33">
        <f>IF(P96&lt;=0,0,MIN('Your debts'!$E$8,P96))</f>
        <v/>
      </c>
      <c r="R96" s="33">
        <f>P96-Q96</f>
        <v/>
      </c>
      <c r="S96" s="33">
        <f>IF('Your debts'!$F$8="",0,MIN(R96,MAX(0,MAX(0,'Your debts'!$C$19-(G96+L96+Q96+V96+AA96+AF96+AK96+AP96+AU96+AZ96))-(IF(AND('Your debts'!$F$6&lt;&gt;"",'Your debts'!$F$8&lt;&gt;"",'Your debts'!$F$6&lt;'Your debts'!$F$8),H96,0)+IF(AND('Your debts'!$F$7&lt;&gt;"",'Your debts'!$F$8&lt;&gt;"",'Your debts'!$F$7&lt;'Your debts'!$F$8),M96,0)+IF(AND('Your debts'!$F$9&lt;&gt;"",'Your debts'!$F$8&lt;&gt;"",'Your debts'!$F$9&lt;'Your debts'!$F$8),W96,0)+IF(AND('Your debts'!$F$10&lt;&gt;"",'Your debts'!$F$8&lt;&gt;"",'Your debts'!$F$10&lt;'Your debts'!$F$8),AB96,0)+IF(AND('Your debts'!$F$11&lt;&gt;"",'Your debts'!$F$8&lt;&gt;"",'Your debts'!$F$11&lt;'Your debts'!$F$8),AG96,0)+IF(AND('Your debts'!$F$12&lt;&gt;"",'Your debts'!$F$8&lt;&gt;"",'Your debts'!$F$12&lt;'Your debts'!$F$8),AL96,0)+IF(AND('Your debts'!$F$13&lt;&gt;"",'Your debts'!$F$8&lt;&gt;"",'Your debts'!$F$13&lt;'Your debts'!$F$8),AQ96,0)+IF(AND('Your debts'!$F$14&lt;&gt;"",'Your debts'!$F$8&lt;&gt;"",'Your debts'!$F$14&lt;'Your debts'!$F$8),AV96,0)+IF(AND('Your debts'!$F$15&lt;&gt;"",'Your debts'!$F$8&lt;&gt;"",'Your debts'!$F$15&lt;'Your debts'!$F$8),BA96,0)))))</f>
        <v/>
      </c>
      <c r="T96" s="33">
        <f>R96-S96</f>
        <v/>
      </c>
      <c r="U96" s="33">
        <f>IF(Y95&lt;=0,0,ROUND(Y95*(1+'Your debts'!$D$9/1200),2))</f>
        <v/>
      </c>
      <c r="V96" s="33">
        <f>IF(U96&lt;=0,0,MIN('Your debts'!$E$9,U96))</f>
        <v/>
      </c>
      <c r="W96" s="33">
        <f>U96-V96</f>
        <v/>
      </c>
      <c r="X96" s="33">
        <f>IF('Your debts'!$F$9="",0,MIN(W96,MAX(0,MAX(0,'Your debts'!$C$19-(G96+L96+Q96+V96+AA96+AF96+AK96+AP96+AU96+AZ96))-(IF(AND('Your debts'!$F$6&lt;&gt;"",'Your debts'!$F$9&lt;&gt;"",'Your debts'!$F$6&lt;'Your debts'!$F$9),H96,0)+IF(AND('Your debts'!$F$7&lt;&gt;"",'Your debts'!$F$9&lt;&gt;"",'Your debts'!$F$7&lt;'Your debts'!$F$9),M96,0)+IF(AND('Your debts'!$F$8&lt;&gt;"",'Your debts'!$F$9&lt;&gt;"",'Your debts'!$F$8&lt;'Your debts'!$F$9),R96,0)+IF(AND('Your debts'!$F$10&lt;&gt;"",'Your debts'!$F$9&lt;&gt;"",'Your debts'!$F$10&lt;'Your debts'!$F$9),AB96,0)+IF(AND('Your debts'!$F$11&lt;&gt;"",'Your debts'!$F$9&lt;&gt;"",'Your debts'!$F$11&lt;'Your debts'!$F$9),AG96,0)+IF(AND('Your debts'!$F$12&lt;&gt;"",'Your debts'!$F$9&lt;&gt;"",'Your debts'!$F$12&lt;'Your debts'!$F$9),AL96,0)+IF(AND('Your debts'!$F$13&lt;&gt;"",'Your debts'!$F$9&lt;&gt;"",'Your debts'!$F$13&lt;'Your debts'!$F$9),AQ96,0)+IF(AND('Your debts'!$F$14&lt;&gt;"",'Your debts'!$F$9&lt;&gt;"",'Your debts'!$F$14&lt;'Your debts'!$F$9),AV96,0)+IF(AND('Your debts'!$F$15&lt;&gt;"",'Your debts'!$F$9&lt;&gt;"",'Your debts'!$F$15&lt;'Your debts'!$F$9),BA96,0)))))</f>
        <v/>
      </c>
      <c r="Y96" s="33">
        <f>W96-X96</f>
        <v/>
      </c>
      <c r="Z96" s="33">
        <f>IF(AD95&lt;=0,0,ROUND(AD95*(1+'Your debts'!$D$10/1200),2))</f>
        <v/>
      </c>
      <c r="AA96" s="33">
        <f>IF(Z96&lt;=0,0,MIN('Your debts'!$E$10,Z96))</f>
        <v/>
      </c>
      <c r="AB96" s="33">
        <f>Z96-AA96</f>
        <v/>
      </c>
      <c r="AC96" s="33">
        <f>IF('Your debts'!$F$10="",0,MIN(AB96,MAX(0,MAX(0,'Your debts'!$C$19-(G96+L96+Q96+V96+AA96+AF96+AK96+AP96+AU96+AZ96))-(IF(AND('Your debts'!$F$6&lt;&gt;"",'Your debts'!$F$10&lt;&gt;"",'Your debts'!$F$6&lt;'Your debts'!$F$10),H96,0)+IF(AND('Your debts'!$F$7&lt;&gt;"",'Your debts'!$F$10&lt;&gt;"",'Your debts'!$F$7&lt;'Your debts'!$F$10),M96,0)+IF(AND('Your debts'!$F$8&lt;&gt;"",'Your debts'!$F$10&lt;&gt;"",'Your debts'!$F$8&lt;'Your debts'!$F$10),R96,0)+IF(AND('Your debts'!$F$9&lt;&gt;"",'Your debts'!$F$10&lt;&gt;"",'Your debts'!$F$9&lt;'Your debts'!$F$10),W96,0)+IF(AND('Your debts'!$F$11&lt;&gt;"",'Your debts'!$F$10&lt;&gt;"",'Your debts'!$F$11&lt;'Your debts'!$F$10),AG96,0)+IF(AND('Your debts'!$F$12&lt;&gt;"",'Your debts'!$F$10&lt;&gt;"",'Your debts'!$F$12&lt;'Your debts'!$F$10),AL96,0)+IF(AND('Your debts'!$F$13&lt;&gt;"",'Your debts'!$F$10&lt;&gt;"",'Your debts'!$F$13&lt;'Your debts'!$F$10),AQ96,0)+IF(AND('Your debts'!$F$14&lt;&gt;"",'Your debts'!$F$10&lt;&gt;"",'Your debts'!$F$14&lt;'Your debts'!$F$10),AV96,0)+IF(AND('Your debts'!$F$15&lt;&gt;"",'Your debts'!$F$10&lt;&gt;"",'Your debts'!$F$15&lt;'Your debts'!$F$10),BA96,0)))))</f>
        <v/>
      </c>
      <c r="AD96" s="33">
        <f>AB96-AC96</f>
        <v/>
      </c>
      <c r="AE96" s="33">
        <f>IF(AI95&lt;=0,0,ROUND(AI95*(1+'Your debts'!$D$11/1200),2))</f>
        <v/>
      </c>
      <c r="AF96" s="33">
        <f>IF(AE96&lt;=0,0,MIN('Your debts'!$E$11,AE96))</f>
        <v/>
      </c>
      <c r="AG96" s="33">
        <f>AE96-AF96</f>
        <v/>
      </c>
      <c r="AH96" s="33">
        <f>IF('Your debts'!$F$11="",0,MIN(AG96,MAX(0,MAX(0,'Your debts'!$C$19-(G96+L96+Q96+V96+AA96+AF96+AK96+AP96+AU96+AZ96))-(IF(AND('Your debts'!$F$6&lt;&gt;"",'Your debts'!$F$11&lt;&gt;"",'Your debts'!$F$6&lt;'Your debts'!$F$11),H96,0)+IF(AND('Your debts'!$F$7&lt;&gt;"",'Your debts'!$F$11&lt;&gt;"",'Your debts'!$F$7&lt;'Your debts'!$F$11),M96,0)+IF(AND('Your debts'!$F$8&lt;&gt;"",'Your debts'!$F$11&lt;&gt;"",'Your debts'!$F$8&lt;'Your debts'!$F$11),R96,0)+IF(AND('Your debts'!$F$9&lt;&gt;"",'Your debts'!$F$11&lt;&gt;"",'Your debts'!$F$9&lt;'Your debts'!$F$11),W96,0)+IF(AND('Your debts'!$F$10&lt;&gt;"",'Your debts'!$F$11&lt;&gt;"",'Your debts'!$F$10&lt;'Your debts'!$F$11),AB96,0)+IF(AND('Your debts'!$F$12&lt;&gt;"",'Your debts'!$F$11&lt;&gt;"",'Your debts'!$F$12&lt;'Your debts'!$F$11),AL96,0)+IF(AND('Your debts'!$F$13&lt;&gt;"",'Your debts'!$F$11&lt;&gt;"",'Your debts'!$F$13&lt;'Your debts'!$F$11),AQ96,0)+IF(AND('Your debts'!$F$14&lt;&gt;"",'Your debts'!$F$11&lt;&gt;"",'Your debts'!$F$14&lt;'Your debts'!$F$11),AV96,0)+IF(AND('Your debts'!$F$15&lt;&gt;"",'Your debts'!$F$11&lt;&gt;"",'Your debts'!$F$15&lt;'Your debts'!$F$11),BA96,0)))))</f>
        <v/>
      </c>
      <c r="AI96" s="33">
        <f>AG96-AH96</f>
        <v/>
      </c>
      <c r="AJ96" s="33">
        <f>IF(AN95&lt;=0,0,ROUND(AN95*(1+'Your debts'!$D$12/1200),2))</f>
        <v/>
      </c>
      <c r="AK96" s="33">
        <f>IF(AJ96&lt;=0,0,MIN('Your debts'!$E$12,AJ96))</f>
        <v/>
      </c>
      <c r="AL96" s="33">
        <f>AJ96-AK96</f>
        <v/>
      </c>
      <c r="AM96" s="33">
        <f>IF('Your debts'!$F$12="",0,MIN(AL96,MAX(0,MAX(0,'Your debts'!$C$19-(G96+L96+Q96+V96+AA96+AF96+AK96+AP96+AU96+AZ96))-(IF(AND('Your debts'!$F$6&lt;&gt;"",'Your debts'!$F$12&lt;&gt;"",'Your debts'!$F$6&lt;'Your debts'!$F$12),H96,0)+IF(AND('Your debts'!$F$7&lt;&gt;"",'Your debts'!$F$12&lt;&gt;"",'Your debts'!$F$7&lt;'Your debts'!$F$12),M96,0)+IF(AND('Your debts'!$F$8&lt;&gt;"",'Your debts'!$F$12&lt;&gt;"",'Your debts'!$F$8&lt;'Your debts'!$F$12),R96,0)+IF(AND('Your debts'!$F$9&lt;&gt;"",'Your debts'!$F$12&lt;&gt;"",'Your debts'!$F$9&lt;'Your debts'!$F$12),W96,0)+IF(AND('Your debts'!$F$10&lt;&gt;"",'Your debts'!$F$12&lt;&gt;"",'Your debts'!$F$10&lt;'Your debts'!$F$12),AB96,0)+IF(AND('Your debts'!$F$11&lt;&gt;"",'Your debts'!$F$12&lt;&gt;"",'Your debts'!$F$11&lt;'Your debts'!$F$12),AG96,0)+IF(AND('Your debts'!$F$13&lt;&gt;"",'Your debts'!$F$12&lt;&gt;"",'Your debts'!$F$13&lt;'Your debts'!$F$12),AQ96,0)+IF(AND('Your debts'!$F$14&lt;&gt;"",'Your debts'!$F$12&lt;&gt;"",'Your debts'!$F$14&lt;'Your debts'!$F$12),AV96,0)+IF(AND('Your debts'!$F$15&lt;&gt;"",'Your debts'!$F$12&lt;&gt;"",'Your debts'!$F$15&lt;'Your debts'!$F$12),BA96,0)))))</f>
        <v/>
      </c>
      <c r="AN96" s="33">
        <f>AL96-AM96</f>
        <v/>
      </c>
      <c r="AO96" s="33">
        <f>IF(AS95&lt;=0,0,ROUND(AS95*(1+'Your debts'!$D$13/1200),2))</f>
        <v/>
      </c>
      <c r="AP96" s="33">
        <f>IF(AO96&lt;=0,0,MIN('Your debts'!$E$13,AO96))</f>
        <v/>
      </c>
      <c r="AQ96" s="33">
        <f>AO96-AP96</f>
        <v/>
      </c>
      <c r="AR96" s="33">
        <f>IF('Your debts'!$F$13="",0,MIN(AQ96,MAX(0,MAX(0,'Your debts'!$C$19-(G96+L96+Q96+V96+AA96+AF96+AK96+AP96+AU96+AZ96))-(IF(AND('Your debts'!$F$6&lt;&gt;"",'Your debts'!$F$13&lt;&gt;"",'Your debts'!$F$6&lt;'Your debts'!$F$13),H96,0)+IF(AND('Your debts'!$F$7&lt;&gt;"",'Your debts'!$F$13&lt;&gt;"",'Your debts'!$F$7&lt;'Your debts'!$F$13),M96,0)+IF(AND('Your debts'!$F$8&lt;&gt;"",'Your debts'!$F$13&lt;&gt;"",'Your debts'!$F$8&lt;'Your debts'!$F$13),R96,0)+IF(AND('Your debts'!$F$9&lt;&gt;"",'Your debts'!$F$13&lt;&gt;"",'Your debts'!$F$9&lt;'Your debts'!$F$13),W96,0)+IF(AND('Your debts'!$F$10&lt;&gt;"",'Your debts'!$F$13&lt;&gt;"",'Your debts'!$F$10&lt;'Your debts'!$F$13),AB96,0)+IF(AND('Your debts'!$F$11&lt;&gt;"",'Your debts'!$F$13&lt;&gt;"",'Your debts'!$F$11&lt;'Your debts'!$F$13),AG96,0)+IF(AND('Your debts'!$F$12&lt;&gt;"",'Your debts'!$F$13&lt;&gt;"",'Your debts'!$F$12&lt;'Your debts'!$F$13),AL96,0)+IF(AND('Your debts'!$F$14&lt;&gt;"",'Your debts'!$F$13&lt;&gt;"",'Your debts'!$F$14&lt;'Your debts'!$F$13),AV96,0)+IF(AND('Your debts'!$F$15&lt;&gt;"",'Your debts'!$F$13&lt;&gt;"",'Your debts'!$F$15&lt;'Your debts'!$F$13),BA96,0)))))</f>
        <v/>
      </c>
      <c r="AS96" s="33">
        <f>AQ96-AR96</f>
        <v/>
      </c>
      <c r="AT96" s="33">
        <f>IF(AX95&lt;=0,0,ROUND(AX95*(1+'Your debts'!$D$14/1200),2))</f>
        <v/>
      </c>
      <c r="AU96" s="33">
        <f>IF(AT96&lt;=0,0,MIN('Your debts'!$E$14,AT96))</f>
        <v/>
      </c>
      <c r="AV96" s="33">
        <f>AT96-AU96</f>
        <v/>
      </c>
      <c r="AW96" s="33">
        <f>IF('Your debts'!$F$14="",0,MIN(AV96,MAX(0,MAX(0,'Your debts'!$C$19-(G96+L96+Q96+V96+AA96+AF96+AK96+AP96+AU96+AZ96))-(IF(AND('Your debts'!$F$6&lt;&gt;"",'Your debts'!$F$14&lt;&gt;"",'Your debts'!$F$6&lt;'Your debts'!$F$14),H96,0)+IF(AND('Your debts'!$F$7&lt;&gt;"",'Your debts'!$F$14&lt;&gt;"",'Your debts'!$F$7&lt;'Your debts'!$F$14),M96,0)+IF(AND('Your debts'!$F$8&lt;&gt;"",'Your debts'!$F$14&lt;&gt;"",'Your debts'!$F$8&lt;'Your debts'!$F$14),R96,0)+IF(AND('Your debts'!$F$9&lt;&gt;"",'Your debts'!$F$14&lt;&gt;"",'Your debts'!$F$9&lt;'Your debts'!$F$14),W96,0)+IF(AND('Your debts'!$F$10&lt;&gt;"",'Your debts'!$F$14&lt;&gt;"",'Your debts'!$F$10&lt;'Your debts'!$F$14),AB96,0)+IF(AND('Your debts'!$F$11&lt;&gt;"",'Your debts'!$F$14&lt;&gt;"",'Your debts'!$F$11&lt;'Your debts'!$F$14),AG96,0)+IF(AND('Your debts'!$F$12&lt;&gt;"",'Your debts'!$F$14&lt;&gt;"",'Your debts'!$F$12&lt;'Your debts'!$F$14),AL96,0)+IF(AND('Your debts'!$F$13&lt;&gt;"",'Your debts'!$F$14&lt;&gt;"",'Your debts'!$F$13&lt;'Your debts'!$F$14),AQ96,0)+IF(AND('Your debts'!$F$15&lt;&gt;"",'Your debts'!$F$14&lt;&gt;"",'Your debts'!$F$15&lt;'Your debts'!$F$14),BA96,0)))))</f>
        <v/>
      </c>
      <c r="AX96" s="33">
        <f>AV96-AW96</f>
        <v/>
      </c>
      <c r="AY96" s="33">
        <f>IF(BC95&lt;=0,0,ROUND(BC95*(1+'Your debts'!$D$15/1200),2))</f>
        <v/>
      </c>
      <c r="AZ96" s="33">
        <f>IF(AY96&lt;=0,0,MIN('Your debts'!$E$15,AY96))</f>
        <v/>
      </c>
      <c r="BA96" s="33">
        <f>AY96-AZ96</f>
        <v/>
      </c>
      <c r="BB96" s="33">
        <f>IF('Your debts'!$F$15="",0,MIN(BA96,MAX(0,MAX(0,'Your debts'!$C$19-(G96+L96+Q96+V96+AA96+AF96+AK96+AP96+AU96+AZ96))-(IF(AND('Your debts'!$F$6&lt;&gt;"",'Your debts'!$F$15&lt;&gt;"",'Your debts'!$F$6&lt;'Your debts'!$F$15),H96,0)+IF(AND('Your debts'!$F$7&lt;&gt;"",'Your debts'!$F$15&lt;&gt;"",'Your debts'!$F$7&lt;'Your debts'!$F$15),M96,0)+IF(AND('Your debts'!$F$8&lt;&gt;"",'Your debts'!$F$15&lt;&gt;"",'Your debts'!$F$8&lt;'Your debts'!$F$15),R96,0)+IF(AND('Your debts'!$F$9&lt;&gt;"",'Your debts'!$F$15&lt;&gt;"",'Your debts'!$F$9&lt;'Your debts'!$F$15),W96,0)+IF(AND('Your debts'!$F$10&lt;&gt;"",'Your debts'!$F$15&lt;&gt;"",'Your debts'!$F$10&lt;'Your debts'!$F$15),AB96,0)+IF(AND('Your debts'!$F$11&lt;&gt;"",'Your debts'!$F$15&lt;&gt;"",'Your debts'!$F$11&lt;'Your debts'!$F$15),AG96,0)+IF(AND('Your debts'!$F$12&lt;&gt;"",'Your debts'!$F$15&lt;&gt;"",'Your debts'!$F$12&lt;'Your debts'!$F$15),AL96,0)+IF(AND('Your debts'!$F$13&lt;&gt;"",'Your debts'!$F$15&lt;&gt;"",'Your debts'!$F$13&lt;'Your debts'!$F$15),AQ96,0)+IF(AND('Your debts'!$F$14&lt;&gt;"",'Your debts'!$F$15&lt;&gt;"",'Your debts'!$F$14&lt;'Your debts'!$F$15),AV96,0)))))</f>
        <v/>
      </c>
      <c r="BC96" s="33">
        <f>BA96-BB96</f>
        <v/>
      </c>
    </row>
    <row r="97">
      <c r="A97" s="30" t="n">
        <v>82</v>
      </c>
      <c r="B97" s="31">
        <f>EDATE($B$15,82)</f>
        <v/>
      </c>
      <c r="C97" s="32">
        <f>IF(J96&lt;=0,0,F97-J96)+IF(O96&lt;=0,0,K97-O96)+IF(T96&lt;=0,0,P97-T96)+IF(Y96&lt;=0,0,U97-Y96)+IF(AD96&lt;=0,0,Z97-AD96)+IF(AI96&lt;=0,0,AE97-AI96)+IF(AN96&lt;=0,0,AJ97-AN96)+IF(AS96&lt;=0,0,AO97-AS96)+IF(AX96&lt;=0,0,AT97-AX96)+IF(BC96&lt;=0,0,AY97-BC96)</f>
        <v/>
      </c>
      <c r="D97" s="32">
        <f>G97+I97+L97+N97+Q97+S97+V97+X97+AA97+AC97+AF97+AH97+AK97+AM97+AP97+AR97+AU97+AW97+AZ97+BB97</f>
        <v/>
      </c>
      <c r="E97" s="32">
        <f>J97+O97+T97+Y97+AD97+AI97+AN97+AS97+AX97+BC97</f>
        <v/>
      </c>
      <c r="F97" s="33">
        <f>IF(J96&lt;=0,0,ROUND(J96*(1+'Your debts'!$D$6/1200),2))</f>
        <v/>
      </c>
      <c r="G97" s="33">
        <f>IF(F97&lt;=0,0,MIN('Your debts'!$E$6,F97))</f>
        <v/>
      </c>
      <c r="H97" s="33">
        <f>F97-G97</f>
        <v/>
      </c>
      <c r="I97" s="33">
        <f>IF('Your debts'!$F$6="",0,MIN(H97,MAX(0,MAX(0,'Your debts'!$C$19-(G97+L97+Q97+V97+AA97+AF97+AK97+AP97+AU97+AZ97))-(IF(AND('Your debts'!$F$7&lt;&gt;"",'Your debts'!$F$6&lt;&gt;"",'Your debts'!$F$7&lt;'Your debts'!$F$6),M97,0)+IF(AND('Your debts'!$F$8&lt;&gt;"",'Your debts'!$F$6&lt;&gt;"",'Your debts'!$F$8&lt;'Your debts'!$F$6),R97,0)+IF(AND('Your debts'!$F$9&lt;&gt;"",'Your debts'!$F$6&lt;&gt;"",'Your debts'!$F$9&lt;'Your debts'!$F$6),W97,0)+IF(AND('Your debts'!$F$10&lt;&gt;"",'Your debts'!$F$6&lt;&gt;"",'Your debts'!$F$10&lt;'Your debts'!$F$6),AB97,0)+IF(AND('Your debts'!$F$11&lt;&gt;"",'Your debts'!$F$6&lt;&gt;"",'Your debts'!$F$11&lt;'Your debts'!$F$6),AG97,0)+IF(AND('Your debts'!$F$12&lt;&gt;"",'Your debts'!$F$6&lt;&gt;"",'Your debts'!$F$12&lt;'Your debts'!$F$6),AL97,0)+IF(AND('Your debts'!$F$13&lt;&gt;"",'Your debts'!$F$6&lt;&gt;"",'Your debts'!$F$13&lt;'Your debts'!$F$6),AQ97,0)+IF(AND('Your debts'!$F$14&lt;&gt;"",'Your debts'!$F$6&lt;&gt;"",'Your debts'!$F$14&lt;'Your debts'!$F$6),AV97,0)+IF(AND('Your debts'!$F$15&lt;&gt;"",'Your debts'!$F$6&lt;&gt;"",'Your debts'!$F$15&lt;'Your debts'!$F$6),BA97,0)))))</f>
        <v/>
      </c>
      <c r="J97" s="33">
        <f>H97-I97</f>
        <v/>
      </c>
      <c r="K97" s="33">
        <f>IF(O96&lt;=0,0,ROUND(O96*(1+'Your debts'!$D$7/1200),2))</f>
        <v/>
      </c>
      <c r="L97" s="33">
        <f>IF(K97&lt;=0,0,MIN('Your debts'!$E$7,K97))</f>
        <v/>
      </c>
      <c r="M97" s="33">
        <f>K97-L97</f>
        <v/>
      </c>
      <c r="N97" s="33">
        <f>IF('Your debts'!$F$7="",0,MIN(M97,MAX(0,MAX(0,'Your debts'!$C$19-(G97+L97+Q97+V97+AA97+AF97+AK97+AP97+AU97+AZ97))-(IF(AND('Your debts'!$F$6&lt;&gt;"",'Your debts'!$F$7&lt;&gt;"",'Your debts'!$F$6&lt;'Your debts'!$F$7),H97,0)+IF(AND('Your debts'!$F$8&lt;&gt;"",'Your debts'!$F$7&lt;&gt;"",'Your debts'!$F$8&lt;'Your debts'!$F$7),R97,0)+IF(AND('Your debts'!$F$9&lt;&gt;"",'Your debts'!$F$7&lt;&gt;"",'Your debts'!$F$9&lt;'Your debts'!$F$7),W97,0)+IF(AND('Your debts'!$F$10&lt;&gt;"",'Your debts'!$F$7&lt;&gt;"",'Your debts'!$F$10&lt;'Your debts'!$F$7),AB97,0)+IF(AND('Your debts'!$F$11&lt;&gt;"",'Your debts'!$F$7&lt;&gt;"",'Your debts'!$F$11&lt;'Your debts'!$F$7),AG97,0)+IF(AND('Your debts'!$F$12&lt;&gt;"",'Your debts'!$F$7&lt;&gt;"",'Your debts'!$F$12&lt;'Your debts'!$F$7),AL97,0)+IF(AND('Your debts'!$F$13&lt;&gt;"",'Your debts'!$F$7&lt;&gt;"",'Your debts'!$F$13&lt;'Your debts'!$F$7),AQ97,0)+IF(AND('Your debts'!$F$14&lt;&gt;"",'Your debts'!$F$7&lt;&gt;"",'Your debts'!$F$14&lt;'Your debts'!$F$7),AV97,0)+IF(AND('Your debts'!$F$15&lt;&gt;"",'Your debts'!$F$7&lt;&gt;"",'Your debts'!$F$15&lt;'Your debts'!$F$7),BA97,0)))))</f>
        <v/>
      </c>
      <c r="O97" s="33">
        <f>M97-N97</f>
        <v/>
      </c>
      <c r="P97" s="33">
        <f>IF(T96&lt;=0,0,ROUND(T96*(1+'Your debts'!$D$8/1200),2))</f>
        <v/>
      </c>
      <c r="Q97" s="33">
        <f>IF(P97&lt;=0,0,MIN('Your debts'!$E$8,P97))</f>
        <v/>
      </c>
      <c r="R97" s="33">
        <f>P97-Q97</f>
        <v/>
      </c>
      <c r="S97" s="33">
        <f>IF('Your debts'!$F$8="",0,MIN(R97,MAX(0,MAX(0,'Your debts'!$C$19-(G97+L97+Q97+V97+AA97+AF97+AK97+AP97+AU97+AZ97))-(IF(AND('Your debts'!$F$6&lt;&gt;"",'Your debts'!$F$8&lt;&gt;"",'Your debts'!$F$6&lt;'Your debts'!$F$8),H97,0)+IF(AND('Your debts'!$F$7&lt;&gt;"",'Your debts'!$F$8&lt;&gt;"",'Your debts'!$F$7&lt;'Your debts'!$F$8),M97,0)+IF(AND('Your debts'!$F$9&lt;&gt;"",'Your debts'!$F$8&lt;&gt;"",'Your debts'!$F$9&lt;'Your debts'!$F$8),W97,0)+IF(AND('Your debts'!$F$10&lt;&gt;"",'Your debts'!$F$8&lt;&gt;"",'Your debts'!$F$10&lt;'Your debts'!$F$8),AB97,0)+IF(AND('Your debts'!$F$11&lt;&gt;"",'Your debts'!$F$8&lt;&gt;"",'Your debts'!$F$11&lt;'Your debts'!$F$8),AG97,0)+IF(AND('Your debts'!$F$12&lt;&gt;"",'Your debts'!$F$8&lt;&gt;"",'Your debts'!$F$12&lt;'Your debts'!$F$8),AL97,0)+IF(AND('Your debts'!$F$13&lt;&gt;"",'Your debts'!$F$8&lt;&gt;"",'Your debts'!$F$13&lt;'Your debts'!$F$8),AQ97,0)+IF(AND('Your debts'!$F$14&lt;&gt;"",'Your debts'!$F$8&lt;&gt;"",'Your debts'!$F$14&lt;'Your debts'!$F$8),AV97,0)+IF(AND('Your debts'!$F$15&lt;&gt;"",'Your debts'!$F$8&lt;&gt;"",'Your debts'!$F$15&lt;'Your debts'!$F$8),BA97,0)))))</f>
        <v/>
      </c>
      <c r="T97" s="33">
        <f>R97-S97</f>
        <v/>
      </c>
      <c r="U97" s="33">
        <f>IF(Y96&lt;=0,0,ROUND(Y96*(1+'Your debts'!$D$9/1200),2))</f>
        <v/>
      </c>
      <c r="V97" s="33">
        <f>IF(U97&lt;=0,0,MIN('Your debts'!$E$9,U97))</f>
        <v/>
      </c>
      <c r="W97" s="33">
        <f>U97-V97</f>
        <v/>
      </c>
      <c r="X97" s="33">
        <f>IF('Your debts'!$F$9="",0,MIN(W97,MAX(0,MAX(0,'Your debts'!$C$19-(G97+L97+Q97+V97+AA97+AF97+AK97+AP97+AU97+AZ97))-(IF(AND('Your debts'!$F$6&lt;&gt;"",'Your debts'!$F$9&lt;&gt;"",'Your debts'!$F$6&lt;'Your debts'!$F$9),H97,0)+IF(AND('Your debts'!$F$7&lt;&gt;"",'Your debts'!$F$9&lt;&gt;"",'Your debts'!$F$7&lt;'Your debts'!$F$9),M97,0)+IF(AND('Your debts'!$F$8&lt;&gt;"",'Your debts'!$F$9&lt;&gt;"",'Your debts'!$F$8&lt;'Your debts'!$F$9),R97,0)+IF(AND('Your debts'!$F$10&lt;&gt;"",'Your debts'!$F$9&lt;&gt;"",'Your debts'!$F$10&lt;'Your debts'!$F$9),AB97,0)+IF(AND('Your debts'!$F$11&lt;&gt;"",'Your debts'!$F$9&lt;&gt;"",'Your debts'!$F$11&lt;'Your debts'!$F$9),AG97,0)+IF(AND('Your debts'!$F$12&lt;&gt;"",'Your debts'!$F$9&lt;&gt;"",'Your debts'!$F$12&lt;'Your debts'!$F$9),AL97,0)+IF(AND('Your debts'!$F$13&lt;&gt;"",'Your debts'!$F$9&lt;&gt;"",'Your debts'!$F$13&lt;'Your debts'!$F$9),AQ97,0)+IF(AND('Your debts'!$F$14&lt;&gt;"",'Your debts'!$F$9&lt;&gt;"",'Your debts'!$F$14&lt;'Your debts'!$F$9),AV97,0)+IF(AND('Your debts'!$F$15&lt;&gt;"",'Your debts'!$F$9&lt;&gt;"",'Your debts'!$F$15&lt;'Your debts'!$F$9),BA97,0)))))</f>
        <v/>
      </c>
      <c r="Y97" s="33">
        <f>W97-X97</f>
        <v/>
      </c>
      <c r="Z97" s="33">
        <f>IF(AD96&lt;=0,0,ROUND(AD96*(1+'Your debts'!$D$10/1200),2))</f>
        <v/>
      </c>
      <c r="AA97" s="33">
        <f>IF(Z97&lt;=0,0,MIN('Your debts'!$E$10,Z97))</f>
        <v/>
      </c>
      <c r="AB97" s="33">
        <f>Z97-AA97</f>
        <v/>
      </c>
      <c r="AC97" s="33">
        <f>IF('Your debts'!$F$10="",0,MIN(AB97,MAX(0,MAX(0,'Your debts'!$C$19-(G97+L97+Q97+V97+AA97+AF97+AK97+AP97+AU97+AZ97))-(IF(AND('Your debts'!$F$6&lt;&gt;"",'Your debts'!$F$10&lt;&gt;"",'Your debts'!$F$6&lt;'Your debts'!$F$10),H97,0)+IF(AND('Your debts'!$F$7&lt;&gt;"",'Your debts'!$F$10&lt;&gt;"",'Your debts'!$F$7&lt;'Your debts'!$F$10),M97,0)+IF(AND('Your debts'!$F$8&lt;&gt;"",'Your debts'!$F$10&lt;&gt;"",'Your debts'!$F$8&lt;'Your debts'!$F$10),R97,0)+IF(AND('Your debts'!$F$9&lt;&gt;"",'Your debts'!$F$10&lt;&gt;"",'Your debts'!$F$9&lt;'Your debts'!$F$10),W97,0)+IF(AND('Your debts'!$F$11&lt;&gt;"",'Your debts'!$F$10&lt;&gt;"",'Your debts'!$F$11&lt;'Your debts'!$F$10),AG97,0)+IF(AND('Your debts'!$F$12&lt;&gt;"",'Your debts'!$F$10&lt;&gt;"",'Your debts'!$F$12&lt;'Your debts'!$F$10),AL97,0)+IF(AND('Your debts'!$F$13&lt;&gt;"",'Your debts'!$F$10&lt;&gt;"",'Your debts'!$F$13&lt;'Your debts'!$F$10),AQ97,0)+IF(AND('Your debts'!$F$14&lt;&gt;"",'Your debts'!$F$10&lt;&gt;"",'Your debts'!$F$14&lt;'Your debts'!$F$10),AV97,0)+IF(AND('Your debts'!$F$15&lt;&gt;"",'Your debts'!$F$10&lt;&gt;"",'Your debts'!$F$15&lt;'Your debts'!$F$10),BA97,0)))))</f>
        <v/>
      </c>
      <c r="AD97" s="33">
        <f>AB97-AC97</f>
        <v/>
      </c>
      <c r="AE97" s="33">
        <f>IF(AI96&lt;=0,0,ROUND(AI96*(1+'Your debts'!$D$11/1200),2))</f>
        <v/>
      </c>
      <c r="AF97" s="33">
        <f>IF(AE97&lt;=0,0,MIN('Your debts'!$E$11,AE97))</f>
        <v/>
      </c>
      <c r="AG97" s="33">
        <f>AE97-AF97</f>
        <v/>
      </c>
      <c r="AH97" s="33">
        <f>IF('Your debts'!$F$11="",0,MIN(AG97,MAX(0,MAX(0,'Your debts'!$C$19-(G97+L97+Q97+V97+AA97+AF97+AK97+AP97+AU97+AZ97))-(IF(AND('Your debts'!$F$6&lt;&gt;"",'Your debts'!$F$11&lt;&gt;"",'Your debts'!$F$6&lt;'Your debts'!$F$11),H97,0)+IF(AND('Your debts'!$F$7&lt;&gt;"",'Your debts'!$F$11&lt;&gt;"",'Your debts'!$F$7&lt;'Your debts'!$F$11),M97,0)+IF(AND('Your debts'!$F$8&lt;&gt;"",'Your debts'!$F$11&lt;&gt;"",'Your debts'!$F$8&lt;'Your debts'!$F$11),R97,0)+IF(AND('Your debts'!$F$9&lt;&gt;"",'Your debts'!$F$11&lt;&gt;"",'Your debts'!$F$9&lt;'Your debts'!$F$11),W97,0)+IF(AND('Your debts'!$F$10&lt;&gt;"",'Your debts'!$F$11&lt;&gt;"",'Your debts'!$F$10&lt;'Your debts'!$F$11),AB97,0)+IF(AND('Your debts'!$F$12&lt;&gt;"",'Your debts'!$F$11&lt;&gt;"",'Your debts'!$F$12&lt;'Your debts'!$F$11),AL97,0)+IF(AND('Your debts'!$F$13&lt;&gt;"",'Your debts'!$F$11&lt;&gt;"",'Your debts'!$F$13&lt;'Your debts'!$F$11),AQ97,0)+IF(AND('Your debts'!$F$14&lt;&gt;"",'Your debts'!$F$11&lt;&gt;"",'Your debts'!$F$14&lt;'Your debts'!$F$11),AV97,0)+IF(AND('Your debts'!$F$15&lt;&gt;"",'Your debts'!$F$11&lt;&gt;"",'Your debts'!$F$15&lt;'Your debts'!$F$11),BA97,0)))))</f>
        <v/>
      </c>
      <c r="AI97" s="33">
        <f>AG97-AH97</f>
        <v/>
      </c>
      <c r="AJ97" s="33">
        <f>IF(AN96&lt;=0,0,ROUND(AN96*(1+'Your debts'!$D$12/1200),2))</f>
        <v/>
      </c>
      <c r="AK97" s="33">
        <f>IF(AJ97&lt;=0,0,MIN('Your debts'!$E$12,AJ97))</f>
        <v/>
      </c>
      <c r="AL97" s="33">
        <f>AJ97-AK97</f>
        <v/>
      </c>
      <c r="AM97" s="33">
        <f>IF('Your debts'!$F$12="",0,MIN(AL97,MAX(0,MAX(0,'Your debts'!$C$19-(G97+L97+Q97+V97+AA97+AF97+AK97+AP97+AU97+AZ97))-(IF(AND('Your debts'!$F$6&lt;&gt;"",'Your debts'!$F$12&lt;&gt;"",'Your debts'!$F$6&lt;'Your debts'!$F$12),H97,0)+IF(AND('Your debts'!$F$7&lt;&gt;"",'Your debts'!$F$12&lt;&gt;"",'Your debts'!$F$7&lt;'Your debts'!$F$12),M97,0)+IF(AND('Your debts'!$F$8&lt;&gt;"",'Your debts'!$F$12&lt;&gt;"",'Your debts'!$F$8&lt;'Your debts'!$F$12),R97,0)+IF(AND('Your debts'!$F$9&lt;&gt;"",'Your debts'!$F$12&lt;&gt;"",'Your debts'!$F$9&lt;'Your debts'!$F$12),W97,0)+IF(AND('Your debts'!$F$10&lt;&gt;"",'Your debts'!$F$12&lt;&gt;"",'Your debts'!$F$10&lt;'Your debts'!$F$12),AB97,0)+IF(AND('Your debts'!$F$11&lt;&gt;"",'Your debts'!$F$12&lt;&gt;"",'Your debts'!$F$11&lt;'Your debts'!$F$12),AG97,0)+IF(AND('Your debts'!$F$13&lt;&gt;"",'Your debts'!$F$12&lt;&gt;"",'Your debts'!$F$13&lt;'Your debts'!$F$12),AQ97,0)+IF(AND('Your debts'!$F$14&lt;&gt;"",'Your debts'!$F$12&lt;&gt;"",'Your debts'!$F$14&lt;'Your debts'!$F$12),AV97,0)+IF(AND('Your debts'!$F$15&lt;&gt;"",'Your debts'!$F$12&lt;&gt;"",'Your debts'!$F$15&lt;'Your debts'!$F$12),BA97,0)))))</f>
        <v/>
      </c>
      <c r="AN97" s="33">
        <f>AL97-AM97</f>
        <v/>
      </c>
      <c r="AO97" s="33">
        <f>IF(AS96&lt;=0,0,ROUND(AS96*(1+'Your debts'!$D$13/1200),2))</f>
        <v/>
      </c>
      <c r="AP97" s="33">
        <f>IF(AO97&lt;=0,0,MIN('Your debts'!$E$13,AO97))</f>
        <v/>
      </c>
      <c r="AQ97" s="33">
        <f>AO97-AP97</f>
        <v/>
      </c>
      <c r="AR97" s="33">
        <f>IF('Your debts'!$F$13="",0,MIN(AQ97,MAX(0,MAX(0,'Your debts'!$C$19-(G97+L97+Q97+V97+AA97+AF97+AK97+AP97+AU97+AZ97))-(IF(AND('Your debts'!$F$6&lt;&gt;"",'Your debts'!$F$13&lt;&gt;"",'Your debts'!$F$6&lt;'Your debts'!$F$13),H97,0)+IF(AND('Your debts'!$F$7&lt;&gt;"",'Your debts'!$F$13&lt;&gt;"",'Your debts'!$F$7&lt;'Your debts'!$F$13),M97,0)+IF(AND('Your debts'!$F$8&lt;&gt;"",'Your debts'!$F$13&lt;&gt;"",'Your debts'!$F$8&lt;'Your debts'!$F$13),R97,0)+IF(AND('Your debts'!$F$9&lt;&gt;"",'Your debts'!$F$13&lt;&gt;"",'Your debts'!$F$9&lt;'Your debts'!$F$13),W97,0)+IF(AND('Your debts'!$F$10&lt;&gt;"",'Your debts'!$F$13&lt;&gt;"",'Your debts'!$F$10&lt;'Your debts'!$F$13),AB97,0)+IF(AND('Your debts'!$F$11&lt;&gt;"",'Your debts'!$F$13&lt;&gt;"",'Your debts'!$F$11&lt;'Your debts'!$F$13),AG97,0)+IF(AND('Your debts'!$F$12&lt;&gt;"",'Your debts'!$F$13&lt;&gt;"",'Your debts'!$F$12&lt;'Your debts'!$F$13),AL97,0)+IF(AND('Your debts'!$F$14&lt;&gt;"",'Your debts'!$F$13&lt;&gt;"",'Your debts'!$F$14&lt;'Your debts'!$F$13),AV97,0)+IF(AND('Your debts'!$F$15&lt;&gt;"",'Your debts'!$F$13&lt;&gt;"",'Your debts'!$F$15&lt;'Your debts'!$F$13),BA97,0)))))</f>
        <v/>
      </c>
      <c r="AS97" s="33">
        <f>AQ97-AR97</f>
        <v/>
      </c>
      <c r="AT97" s="33">
        <f>IF(AX96&lt;=0,0,ROUND(AX96*(1+'Your debts'!$D$14/1200),2))</f>
        <v/>
      </c>
      <c r="AU97" s="33">
        <f>IF(AT97&lt;=0,0,MIN('Your debts'!$E$14,AT97))</f>
        <v/>
      </c>
      <c r="AV97" s="33">
        <f>AT97-AU97</f>
        <v/>
      </c>
      <c r="AW97" s="33">
        <f>IF('Your debts'!$F$14="",0,MIN(AV97,MAX(0,MAX(0,'Your debts'!$C$19-(G97+L97+Q97+V97+AA97+AF97+AK97+AP97+AU97+AZ97))-(IF(AND('Your debts'!$F$6&lt;&gt;"",'Your debts'!$F$14&lt;&gt;"",'Your debts'!$F$6&lt;'Your debts'!$F$14),H97,0)+IF(AND('Your debts'!$F$7&lt;&gt;"",'Your debts'!$F$14&lt;&gt;"",'Your debts'!$F$7&lt;'Your debts'!$F$14),M97,0)+IF(AND('Your debts'!$F$8&lt;&gt;"",'Your debts'!$F$14&lt;&gt;"",'Your debts'!$F$8&lt;'Your debts'!$F$14),R97,0)+IF(AND('Your debts'!$F$9&lt;&gt;"",'Your debts'!$F$14&lt;&gt;"",'Your debts'!$F$9&lt;'Your debts'!$F$14),W97,0)+IF(AND('Your debts'!$F$10&lt;&gt;"",'Your debts'!$F$14&lt;&gt;"",'Your debts'!$F$10&lt;'Your debts'!$F$14),AB97,0)+IF(AND('Your debts'!$F$11&lt;&gt;"",'Your debts'!$F$14&lt;&gt;"",'Your debts'!$F$11&lt;'Your debts'!$F$14),AG97,0)+IF(AND('Your debts'!$F$12&lt;&gt;"",'Your debts'!$F$14&lt;&gt;"",'Your debts'!$F$12&lt;'Your debts'!$F$14),AL97,0)+IF(AND('Your debts'!$F$13&lt;&gt;"",'Your debts'!$F$14&lt;&gt;"",'Your debts'!$F$13&lt;'Your debts'!$F$14),AQ97,0)+IF(AND('Your debts'!$F$15&lt;&gt;"",'Your debts'!$F$14&lt;&gt;"",'Your debts'!$F$15&lt;'Your debts'!$F$14),BA97,0)))))</f>
        <v/>
      </c>
      <c r="AX97" s="33">
        <f>AV97-AW97</f>
        <v/>
      </c>
      <c r="AY97" s="33">
        <f>IF(BC96&lt;=0,0,ROUND(BC96*(1+'Your debts'!$D$15/1200),2))</f>
        <v/>
      </c>
      <c r="AZ97" s="33">
        <f>IF(AY97&lt;=0,0,MIN('Your debts'!$E$15,AY97))</f>
        <v/>
      </c>
      <c r="BA97" s="33">
        <f>AY97-AZ97</f>
        <v/>
      </c>
      <c r="BB97" s="33">
        <f>IF('Your debts'!$F$15="",0,MIN(BA97,MAX(0,MAX(0,'Your debts'!$C$19-(G97+L97+Q97+V97+AA97+AF97+AK97+AP97+AU97+AZ97))-(IF(AND('Your debts'!$F$6&lt;&gt;"",'Your debts'!$F$15&lt;&gt;"",'Your debts'!$F$6&lt;'Your debts'!$F$15),H97,0)+IF(AND('Your debts'!$F$7&lt;&gt;"",'Your debts'!$F$15&lt;&gt;"",'Your debts'!$F$7&lt;'Your debts'!$F$15),M97,0)+IF(AND('Your debts'!$F$8&lt;&gt;"",'Your debts'!$F$15&lt;&gt;"",'Your debts'!$F$8&lt;'Your debts'!$F$15),R97,0)+IF(AND('Your debts'!$F$9&lt;&gt;"",'Your debts'!$F$15&lt;&gt;"",'Your debts'!$F$9&lt;'Your debts'!$F$15),W97,0)+IF(AND('Your debts'!$F$10&lt;&gt;"",'Your debts'!$F$15&lt;&gt;"",'Your debts'!$F$10&lt;'Your debts'!$F$15),AB97,0)+IF(AND('Your debts'!$F$11&lt;&gt;"",'Your debts'!$F$15&lt;&gt;"",'Your debts'!$F$11&lt;'Your debts'!$F$15),AG97,0)+IF(AND('Your debts'!$F$12&lt;&gt;"",'Your debts'!$F$15&lt;&gt;"",'Your debts'!$F$12&lt;'Your debts'!$F$15),AL97,0)+IF(AND('Your debts'!$F$13&lt;&gt;"",'Your debts'!$F$15&lt;&gt;"",'Your debts'!$F$13&lt;'Your debts'!$F$15),AQ97,0)+IF(AND('Your debts'!$F$14&lt;&gt;"",'Your debts'!$F$15&lt;&gt;"",'Your debts'!$F$14&lt;'Your debts'!$F$15),AV97,0)))))</f>
        <v/>
      </c>
      <c r="BC97" s="33">
        <f>BA97-BB97</f>
        <v/>
      </c>
    </row>
    <row r="98">
      <c r="A98" s="30" t="n">
        <v>83</v>
      </c>
      <c r="B98" s="31">
        <f>EDATE($B$15,83)</f>
        <v/>
      </c>
      <c r="C98" s="32">
        <f>IF(J97&lt;=0,0,F98-J97)+IF(O97&lt;=0,0,K98-O97)+IF(T97&lt;=0,0,P98-T97)+IF(Y97&lt;=0,0,U98-Y97)+IF(AD97&lt;=0,0,Z98-AD97)+IF(AI97&lt;=0,0,AE98-AI97)+IF(AN97&lt;=0,0,AJ98-AN97)+IF(AS97&lt;=0,0,AO98-AS97)+IF(AX97&lt;=0,0,AT98-AX97)+IF(BC97&lt;=0,0,AY98-BC97)</f>
        <v/>
      </c>
      <c r="D98" s="32">
        <f>G98+I98+L98+N98+Q98+S98+V98+X98+AA98+AC98+AF98+AH98+AK98+AM98+AP98+AR98+AU98+AW98+AZ98+BB98</f>
        <v/>
      </c>
      <c r="E98" s="32">
        <f>J98+O98+T98+Y98+AD98+AI98+AN98+AS98+AX98+BC98</f>
        <v/>
      </c>
      <c r="F98" s="33">
        <f>IF(J97&lt;=0,0,ROUND(J97*(1+'Your debts'!$D$6/1200),2))</f>
        <v/>
      </c>
      <c r="G98" s="33">
        <f>IF(F98&lt;=0,0,MIN('Your debts'!$E$6,F98))</f>
        <v/>
      </c>
      <c r="H98" s="33">
        <f>F98-G98</f>
        <v/>
      </c>
      <c r="I98" s="33">
        <f>IF('Your debts'!$F$6="",0,MIN(H98,MAX(0,MAX(0,'Your debts'!$C$19-(G98+L98+Q98+V98+AA98+AF98+AK98+AP98+AU98+AZ98))-(IF(AND('Your debts'!$F$7&lt;&gt;"",'Your debts'!$F$6&lt;&gt;"",'Your debts'!$F$7&lt;'Your debts'!$F$6),M98,0)+IF(AND('Your debts'!$F$8&lt;&gt;"",'Your debts'!$F$6&lt;&gt;"",'Your debts'!$F$8&lt;'Your debts'!$F$6),R98,0)+IF(AND('Your debts'!$F$9&lt;&gt;"",'Your debts'!$F$6&lt;&gt;"",'Your debts'!$F$9&lt;'Your debts'!$F$6),W98,0)+IF(AND('Your debts'!$F$10&lt;&gt;"",'Your debts'!$F$6&lt;&gt;"",'Your debts'!$F$10&lt;'Your debts'!$F$6),AB98,0)+IF(AND('Your debts'!$F$11&lt;&gt;"",'Your debts'!$F$6&lt;&gt;"",'Your debts'!$F$11&lt;'Your debts'!$F$6),AG98,0)+IF(AND('Your debts'!$F$12&lt;&gt;"",'Your debts'!$F$6&lt;&gt;"",'Your debts'!$F$12&lt;'Your debts'!$F$6),AL98,0)+IF(AND('Your debts'!$F$13&lt;&gt;"",'Your debts'!$F$6&lt;&gt;"",'Your debts'!$F$13&lt;'Your debts'!$F$6),AQ98,0)+IF(AND('Your debts'!$F$14&lt;&gt;"",'Your debts'!$F$6&lt;&gt;"",'Your debts'!$F$14&lt;'Your debts'!$F$6),AV98,0)+IF(AND('Your debts'!$F$15&lt;&gt;"",'Your debts'!$F$6&lt;&gt;"",'Your debts'!$F$15&lt;'Your debts'!$F$6),BA98,0)))))</f>
        <v/>
      </c>
      <c r="J98" s="33">
        <f>H98-I98</f>
        <v/>
      </c>
      <c r="K98" s="33">
        <f>IF(O97&lt;=0,0,ROUND(O97*(1+'Your debts'!$D$7/1200),2))</f>
        <v/>
      </c>
      <c r="L98" s="33">
        <f>IF(K98&lt;=0,0,MIN('Your debts'!$E$7,K98))</f>
        <v/>
      </c>
      <c r="M98" s="33">
        <f>K98-L98</f>
        <v/>
      </c>
      <c r="N98" s="33">
        <f>IF('Your debts'!$F$7="",0,MIN(M98,MAX(0,MAX(0,'Your debts'!$C$19-(G98+L98+Q98+V98+AA98+AF98+AK98+AP98+AU98+AZ98))-(IF(AND('Your debts'!$F$6&lt;&gt;"",'Your debts'!$F$7&lt;&gt;"",'Your debts'!$F$6&lt;'Your debts'!$F$7),H98,0)+IF(AND('Your debts'!$F$8&lt;&gt;"",'Your debts'!$F$7&lt;&gt;"",'Your debts'!$F$8&lt;'Your debts'!$F$7),R98,0)+IF(AND('Your debts'!$F$9&lt;&gt;"",'Your debts'!$F$7&lt;&gt;"",'Your debts'!$F$9&lt;'Your debts'!$F$7),W98,0)+IF(AND('Your debts'!$F$10&lt;&gt;"",'Your debts'!$F$7&lt;&gt;"",'Your debts'!$F$10&lt;'Your debts'!$F$7),AB98,0)+IF(AND('Your debts'!$F$11&lt;&gt;"",'Your debts'!$F$7&lt;&gt;"",'Your debts'!$F$11&lt;'Your debts'!$F$7),AG98,0)+IF(AND('Your debts'!$F$12&lt;&gt;"",'Your debts'!$F$7&lt;&gt;"",'Your debts'!$F$12&lt;'Your debts'!$F$7),AL98,0)+IF(AND('Your debts'!$F$13&lt;&gt;"",'Your debts'!$F$7&lt;&gt;"",'Your debts'!$F$13&lt;'Your debts'!$F$7),AQ98,0)+IF(AND('Your debts'!$F$14&lt;&gt;"",'Your debts'!$F$7&lt;&gt;"",'Your debts'!$F$14&lt;'Your debts'!$F$7),AV98,0)+IF(AND('Your debts'!$F$15&lt;&gt;"",'Your debts'!$F$7&lt;&gt;"",'Your debts'!$F$15&lt;'Your debts'!$F$7),BA98,0)))))</f>
        <v/>
      </c>
      <c r="O98" s="33">
        <f>M98-N98</f>
        <v/>
      </c>
      <c r="P98" s="33">
        <f>IF(T97&lt;=0,0,ROUND(T97*(1+'Your debts'!$D$8/1200),2))</f>
        <v/>
      </c>
      <c r="Q98" s="33">
        <f>IF(P98&lt;=0,0,MIN('Your debts'!$E$8,P98))</f>
        <v/>
      </c>
      <c r="R98" s="33">
        <f>P98-Q98</f>
        <v/>
      </c>
      <c r="S98" s="33">
        <f>IF('Your debts'!$F$8="",0,MIN(R98,MAX(0,MAX(0,'Your debts'!$C$19-(G98+L98+Q98+V98+AA98+AF98+AK98+AP98+AU98+AZ98))-(IF(AND('Your debts'!$F$6&lt;&gt;"",'Your debts'!$F$8&lt;&gt;"",'Your debts'!$F$6&lt;'Your debts'!$F$8),H98,0)+IF(AND('Your debts'!$F$7&lt;&gt;"",'Your debts'!$F$8&lt;&gt;"",'Your debts'!$F$7&lt;'Your debts'!$F$8),M98,0)+IF(AND('Your debts'!$F$9&lt;&gt;"",'Your debts'!$F$8&lt;&gt;"",'Your debts'!$F$9&lt;'Your debts'!$F$8),W98,0)+IF(AND('Your debts'!$F$10&lt;&gt;"",'Your debts'!$F$8&lt;&gt;"",'Your debts'!$F$10&lt;'Your debts'!$F$8),AB98,0)+IF(AND('Your debts'!$F$11&lt;&gt;"",'Your debts'!$F$8&lt;&gt;"",'Your debts'!$F$11&lt;'Your debts'!$F$8),AG98,0)+IF(AND('Your debts'!$F$12&lt;&gt;"",'Your debts'!$F$8&lt;&gt;"",'Your debts'!$F$12&lt;'Your debts'!$F$8),AL98,0)+IF(AND('Your debts'!$F$13&lt;&gt;"",'Your debts'!$F$8&lt;&gt;"",'Your debts'!$F$13&lt;'Your debts'!$F$8),AQ98,0)+IF(AND('Your debts'!$F$14&lt;&gt;"",'Your debts'!$F$8&lt;&gt;"",'Your debts'!$F$14&lt;'Your debts'!$F$8),AV98,0)+IF(AND('Your debts'!$F$15&lt;&gt;"",'Your debts'!$F$8&lt;&gt;"",'Your debts'!$F$15&lt;'Your debts'!$F$8),BA98,0)))))</f>
        <v/>
      </c>
      <c r="T98" s="33">
        <f>R98-S98</f>
        <v/>
      </c>
      <c r="U98" s="33">
        <f>IF(Y97&lt;=0,0,ROUND(Y97*(1+'Your debts'!$D$9/1200),2))</f>
        <v/>
      </c>
      <c r="V98" s="33">
        <f>IF(U98&lt;=0,0,MIN('Your debts'!$E$9,U98))</f>
        <v/>
      </c>
      <c r="W98" s="33">
        <f>U98-V98</f>
        <v/>
      </c>
      <c r="X98" s="33">
        <f>IF('Your debts'!$F$9="",0,MIN(W98,MAX(0,MAX(0,'Your debts'!$C$19-(G98+L98+Q98+V98+AA98+AF98+AK98+AP98+AU98+AZ98))-(IF(AND('Your debts'!$F$6&lt;&gt;"",'Your debts'!$F$9&lt;&gt;"",'Your debts'!$F$6&lt;'Your debts'!$F$9),H98,0)+IF(AND('Your debts'!$F$7&lt;&gt;"",'Your debts'!$F$9&lt;&gt;"",'Your debts'!$F$7&lt;'Your debts'!$F$9),M98,0)+IF(AND('Your debts'!$F$8&lt;&gt;"",'Your debts'!$F$9&lt;&gt;"",'Your debts'!$F$8&lt;'Your debts'!$F$9),R98,0)+IF(AND('Your debts'!$F$10&lt;&gt;"",'Your debts'!$F$9&lt;&gt;"",'Your debts'!$F$10&lt;'Your debts'!$F$9),AB98,0)+IF(AND('Your debts'!$F$11&lt;&gt;"",'Your debts'!$F$9&lt;&gt;"",'Your debts'!$F$11&lt;'Your debts'!$F$9),AG98,0)+IF(AND('Your debts'!$F$12&lt;&gt;"",'Your debts'!$F$9&lt;&gt;"",'Your debts'!$F$12&lt;'Your debts'!$F$9),AL98,0)+IF(AND('Your debts'!$F$13&lt;&gt;"",'Your debts'!$F$9&lt;&gt;"",'Your debts'!$F$13&lt;'Your debts'!$F$9),AQ98,0)+IF(AND('Your debts'!$F$14&lt;&gt;"",'Your debts'!$F$9&lt;&gt;"",'Your debts'!$F$14&lt;'Your debts'!$F$9),AV98,0)+IF(AND('Your debts'!$F$15&lt;&gt;"",'Your debts'!$F$9&lt;&gt;"",'Your debts'!$F$15&lt;'Your debts'!$F$9),BA98,0)))))</f>
        <v/>
      </c>
      <c r="Y98" s="33">
        <f>W98-X98</f>
        <v/>
      </c>
      <c r="Z98" s="33">
        <f>IF(AD97&lt;=0,0,ROUND(AD97*(1+'Your debts'!$D$10/1200),2))</f>
        <v/>
      </c>
      <c r="AA98" s="33">
        <f>IF(Z98&lt;=0,0,MIN('Your debts'!$E$10,Z98))</f>
        <v/>
      </c>
      <c r="AB98" s="33">
        <f>Z98-AA98</f>
        <v/>
      </c>
      <c r="AC98" s="33">
        <f>IF('Your debts'!$F$10="",0,MIN(AB98,MAX(0,MAX(0,'Your debts'!$C$19-(G98+L98+Q98+V98+AA98+AF98+AK98+AP98+AU98+AZ98))-(IF(AND('Your debts'!$F$6&lt;&gt;"",'Your debts'!$F$10&lt;&gt;"",'Your debts'!$F$6&lt;'Your debts'!$F$10),H98,0)+IF(AND('Your debts'!$F$7&lt;&gt;"",'Your debts'!$F$10&lt;&gt;"",'Your debts'!$F$7&lt;'Your debts'!$F$10),M98,0)+IF(AND('Your debts'!$F$8&lt;&gt;"",'Your debts'!$F$10&lt;&gt;"",'Your debts'!$F$8&lt;'Your debts'!$F$10),R98,0)+IF(AND('Your debts'!$F$9&lt;&gt;"",'Your debts'!$F$10&lt;&gt;"",'Your debts'!$F$9&lt;'Your debts'!$F$10),W98,0)+IF(AND('Your debts'!$F$11&lt;&gt;"",'Your debts'!$F$10&lt;&gt;"",'Your debts'!$F$11&lt;'Your debts'!$F$10),AG98,0)+IF(AND('Your debts'!$F$12&lt;&gt;"",'Your debts'!$F$10&lt;&gt;"",'Your debts'!$F$12&lt;'Your debts'!$F$10),AL98,0)+IF(AND('Your debts'!$F$13&lt;&gt;"",'Your debts'!$F$10&lt;&gt;"",'Your debts'!$F$13&lt;'Your debts'!$F$10),AQ98,0)+IF(AND('Your debts'!$F$14&lt;&gt;"",'Your debts'!$F$10&lt;&gt;"",'Your debts'!$F$14&lt;'Your debts'!$F$10),AV98,0)+IF(AND('Your debts'!$F$15&lt;&gt;"",'Your debts'!$F$10&lt;&gt;"",'Your debts'!$F$15&lt;'Your debts'!$F$10),BA98,0)))))</f>
        <v/>
      </c>
      <c r="AD98" s="33">
        <f>AB98-AC98</f>
        <v/>
      </c>
      <c r="AE98" s="33">
        <f>IF(AI97&lt;=0,0,ROUND(AI97*(1+'Your debts'!$D$11/1200),2))</f>
        <v/>
      </c>
      <c r="AF98" s="33">
        <f>IF(AE98&lt;=0,0,MIN('Your debts'!$E$11,AE98))</f>
        <v/>
      </c>
      <c r="AG98" s="33">
        <f>AE98-AF98</f>
        <v/>
      </c>
      <c r="AH98" s="33">
        <f>IF('Your debts'!$F$11="",0,MIN(AG98,MAX(0,MAX(0,'Your debts'!$C$19-(G98+L98+Q98+V98+AA98+AF98+AK98+AP98+AU98+AZ98))-(IF(AND('Your debts'!$F$6&lt;&gt;"",'Your debts'!$F$11&lt;&gt;"",'Your debts'!$F$6&lt;'Your debts'!$F$11),H98,0)+IF(AND('Your debts'!$F$7&lt;&gt;"",'Your debts'!$F$11&lt;&gt;"",'Your debts'!$F$7&lt;'Your debts'!$F$11),M98,0)+IF(AND('Your debts'!$F$8&lt;&gt;"",'Your debts'!$F$11&lt;&gt;"",'Your debts'!$F$8&lt;'Your debts'!$F$11),R98,0)+IF(AND('Your debts'!$F$9&lt;&gt;"",'Your debts'!$F$11&lt;&gt;"",'Your debts'!$F$9&lt;'Your debts'!$F$11),W98,0)+IF(AND('Your debts'!$F$10&lt;&gt;"",'Your debts'!$F$11&lt;&gt;"",'Your debts'!$F$10&lt;'Your debts'!$F$11),AB98,0)+IF(AND('Your debts'!$F$12&lt;&gt;"",'Your debts'!$F$11&lt;&gt;"",'Your debts'!$F$12&lt;'Your debts'!$F$11),AL98,0)+IF(AND('Your debts'!$F$13&lt;&gt;"",'Your debts'!$F$11&lt;&gt;"",'Your debts'!$F$13&lt;'Your debts'!$F$11),AQ98,0)+IF(AND('Your debts'!$F$14&lt;&gt;"",'Your debts'!$F$11&lt;&gt;"",'Your debts'!$F$14&lt;'Your debts'!$F$11),AV98,0)+IF(AND('Your debts'!$F$15&lt;&gt;"",'Your debts'!$F$11&lt;&gt;"",'Your debts'!$F$15&lt;'Your debts'!$F$11),BA98,0)))))</f>
        <v/>
      </c>
      <c r="AI98" s="33">
        <f>AG98-AH98</f>
        <v/>
      </c>
      <c r="AJ98" s="33">
        <f>IF(AN97&lt;=0,0,ROUND(AN97*(1+'Your debts'!$D$12/1200),2))</f>
        <v/>
      </c>
      <c r="AK98" s="33">
        <f>IF(AJ98&lt;=0,0,MIN('Your debts'!$E$12,AJ98))</f>
        <v/>
      </c>
      <c r="AL98" s="33">
        <f>AJ98-AK98</f>
        <v/>
      </c>
      <c r="AM98" s="33">
        <f>IF('Your debts'!$F$12="",0,MIN(AL98,MAX(0,MAX(0,'Your debts'!$C$19-(G98+L98+Q98+V98+AA98+AF98+AK98+AP98+AU98+AZ98))-(IF(AND('Your debts'!$F$6&lt;&gt;"",'Your debts'!$F$12&lt;&gt;"",'Your debts'!$F$6&lt;'Your debts'!$F$12),H98,0)+IF(AND('Your debts'!$F$7&lt;&gt;"",'Your debts'!$F$12&lt;&gt;"",'Your debts'!$F$7&lt;'Your debts'!$F$12),M98,0)+IF(AND('Your debts'!$F$8&lt;&gt;"",'Your debts'!$F$12&lt;&gt;"",'Your debts'!$F$8&lt;'Your debts'!$F$12),R98,0)+IF(AND('Your debts'!$F$9&lt;&gt;"",'Your debts'!$F$12&lt;&gt;"",'Your debts'!$F$9&lt;'Your debts'!$F$12),W98,0)+IF(AND('Your debts'!$F$10&lt;&gt;"",'Your debts'!$F$12&lt;&gt;"",'Your debts'!$F$10&lt;'Your debts'!$F$12),AB98,0)+IF(AND('Your debts'!$F$11&lt;&gt;"",'Your debts'!$F$12&lt;&gt;"",'Your debts'!$F$11&lt;'Your debts'!$F$12),AG98,0)+IF(AND('Your debts'!$F$13&lt;&gt;"",'Your debts'!$F$12&lt;&gt;"",'Your debts'!$F$13&lt;'Your debts'!$F$12),AQ98,0)+IF(AND('Your debts'!$F$14&lt;&gt;"",'Your debts'!$F$12&lt;&gt;"",'Your debts'!$F$14&lt;'Your debts'!$F$12),AV98,0)+IF(AND('Your debts'!$F$15&lt;&gt;"",'Your debts'!$F$12&lt;&gt;"",'Your debts'!$F$15&lt;'Your debts'!$F$12),BA98,0)))))</f>
        <v/>
      </c>
      <c r="AN98" s="33">
        <f>AL98-AM98</f>
        <v/>
      </c>
      <c r="AO98" s="33">
        <f>IF(AS97&lt;=0,0,ROUND(AS97*(1+'Your debts'!$D$13/1200),2))</f>
        <v/>
      </c>
      <c r="AP98" s="33">
        <f>IF(AO98&lt;=0,0,MIN('Your debts'!$E$13,AO98))</f>
        <v/>
      </c>
      <c r="AQ98" s="33">
        <f>AO98-AP98</f>
        <v/>
      </c>
      <c r="AR98" s="33">
        <f>IF('Your debts'!$F$13="",0,MIN(AQ98,MAX(0,MAX(0,'Your debts'!$C$19-(G98+L98+Q98+V98+AA98+AF98+AK98+AP98+AU98+AZ98))-(IF(AND('Your debts'!$F$6&lt;&gt;"",'Your debts'!$F$13&lt;&gt;"",'Your debts'!$F$6&lt;'Your debts'!$F$13),H98,0)+IF(AND('Your debts'!$F$7&lt;&gt;"",'Your debts'!$F$13&lt;&gt;"",'Your debts'!$F$7&lt;'Your debts'!$F$13),M98,0)+IF(AND('Your debts'!$F$8&lt;&gt;"",'Your debts'!$F$13&lt;&gt;"",'Your debts'!$F$8&lt;'Your debts'!$F$13),R98,0)+IF(AND('Your debts'!$F$9&lt;&gt;"",'Your debts'!$F$13&lt;&gt;"",'Your debts'!$F$9&lt;'Your debts'!$F$13),W98,0)+IF(AND('Your debts'!$F$10&lt;&gt;"",'Your debts'!$F$13&lt;&gt;"",'Your debts'!$F$10&lt;'Your debts'!$F$13),AB98,0)+IF(AND('Your debts'!$F$11&lt;&gt;"",'Your debts'!$F$13&lt;&gt;"",'Your debts'!$F$11&lt;'Your debts'!$F$13),AG98,0)+IF(AND('Your debts'!$F$12&lt;&gt;"",'Your debts'!$F$13&lt;&gt;"",'Your debts'!$F$12&lt;'Your debts'!$F$13),AL98,0)+IF(AND('Your debts'!$F$14&lt;&gt;"",'Your debts'!$F$13&lt;&gt;"",'Your debts'!$F$14&lt;'Your debts'!$F$13),AV98,0)+IF(AND('Your debts'!$F$15&lt;&gt;"",'Your debts'!$F$13&lt;&gt;"",'Your debts'!$F$15&lt;'Your debts'!$F$13),BA98,0)))))</f>
        <v/>
      </c>
      <c r="AS98" s="33">
        <f>AQ98-AR98</f>
        <v/>
      </c>
      <c r="AT98" s="33">
        <f>IF(AX97&lt;=0,0,ROUND(AX97*(1+'Your debts'!$D$14/1200),2))</f>
        <v/>
      </c>
      <c r="AU98" s="33">
        <f>IF(AT98&lt;=0,0,MIN('Your debts'!$E$14,AT98))</f>
        <v/>
      </c>
      <c r="AV98" s="33">
        <f>AT98-AU98</f>
        <v/>
      </c>
      <c r="AW98" s="33">
        <f>IF('Your debts'!$F$14="",0,MIN(AV98,MAX(0,MAX(0,'Your debts'!$C$19-(G98+L98+Q98+V98+AA98+AF98+AK98+AP98+AU98+AZ98))-(IF(AND('Your debts'!$F$6&lt;&gt;"",'Your debts'!$F$14&lt;&gt;"",'Your debts'!$F$6&lt;'Your debts'!$F$14),H98,0)+IF(AND('Your debts'!$F$7&lt;&gt;"",'Your debts'!$F$14&lt;&gt;"",'Your debts'!$F$7&lt;'Your debts'!$F$14),M98,0)+IF(AND('Your debts'!$F$8&lt;&gt;"",'Your debts'!$F$14&lt;&gt;"",'Your debts'!$F$8&lt;'Your debts'!$F$14),R98,0)+IF(AND('Your debts'!$F$9&lt;&gt;"",'Your debts'!$F$14&lt;&gt;"",'Your debts'!$F$9&lt;'Your debts'!$F$14),W98,0)+IF(AND('Your debts'!$F$10&lt;&gt;"",'Your debts'!$F$14&lt;&gt;"",'Your debts'!$F$10&lt;'Your debts'!$F$14),AB98,0)+IF(AND('Your debts'!$F$11&lt;&gt;"",'Your debts'!$F$14&lt;&gt;"",'Your debts'!$F$11&lt;'Your debts'!$F$14),AG98,0)+IF(AND('Your debts'!$F$12&lt;&gt;"",'Your debts'!$F$14&lt;&gt;"",'Your debts'!$F$12&lt;'Your debts'!$F$14),AL98,0)+IF(AND('Your debts'!$F$13&lt;&gt;"",'Your debts'!$F$14&lt;&gt;"",'Your debts'!$F$13&lt;'Your debts'!$F$14),AQ98,0)+IF(AND('Your debts'!$F$15&lt;&gt;"",'Your debts'!$F$14&lt;&gt;"",'Your debts'!$F$15&lt;'Your debts'!$F$14),BA98,0)))))</f>
        <v/>
      </c>
      <c r="AX98" s="33">
        <f>AV98-AW98</f>
        <v/>
      </c>
      <c r="AY98" s="33">
        <f>IF(BC97&lt;=0,0,ROUND(BC97*(1+'Your debts'!$D$15/1200),2))</f>
        <v/>
      </c>
      <c r="AZ98" s="33">
        <f>IF(AY98&lt;=0,0,MIN('Your debts'!$E$15,AY98))</f>
        <v/>
      </c>
      <c r="BA98" s="33">
        <f>AY98-AZ98</f>
        <v/>
      </c>
      <c r="BB98" s="33">
        <f>IF('Your debts'!$F$15="",0,MIN(BA98,MAX(0,MAX(0,'Your debts'!$C$19-(G98+L98+Q98+V98+AA98+AF98+AK98+AP98+AU98+AZ98))-(IF(AND('Your debts'!$F$6&lt;&gt;"",'Your debts'!$F$15&lt;&gt;"",'Your debts'!$F$6&lt;'Your debts'!$F$15),H98,0)+IF(AND('Your debts'!$F$7&lt;&gt;"",'Your debts'!$F$15&lt;&gt;"",'Your debts'!$F$7&lt;'Your debts'!$F$15),M98,0)+IF(AND('Your debts'!$F$8&lt;&gt;"",'Your debts'!$F$15&lt;&gt;"",'Your debts'!$F$8&lt;'Your debts'!$F$15),R98,0)+IF(AND('Your debts'!$F$9&lt;&gt;"",'Your debts'!$F$15&lt;&gt;"",'Your debts'!$F$9&lt;'Your debts'!$F$15),W98,0)+IF(AND('Your debts'!$F$10&lt;&gt;"",'Your debts'!$F$15&lt;&gt;"",'Your debts'!$F$10&lt;'Your debts'!$F$15),AB98,0)+IF(AND('Your debts'!$F$11&lt;&gt;"",'Your debts'!$F$15&lt;&gt;"",'Your debts'!$F$11&lt;'Your debts'!$F$15),AG98,0)+IF(AND('Your debts'!$F$12&lt;&gt;"",'Your debts'!$F$15&lt;&gt;"",'Your debts'!$F$12&lt;'Your debts'!$F$15),AL98,0)+IF(AND('Your debts'!$F$13&lt;&gt;"",'Your debts'!$F$15&lt;&gt;"",'Your debts'!$F$13&lt;'Your debts'!$F$15),AQ98,0)+IF(AND('Your debts'!$F$14&lt;&gt;"",'Your debts'!$F$15&lt;&gt;"",'Your debts'!$F$14&lt;'Your debts'!$F$15),AV98,0)))))</f>
        <v/>
      </c>
      <c r="BC98" s="33">
        <f>BA98-BB98</f>
        <v/>
      </c>
    </row>
    <row r="99">
      <c r="A99" s="30" t="n">
        <v>84</v>
      </c>
      <c r="B99" s="31">
        <f>EDATE($B$15,84)</f>
        <v/>
      </c>
      <c r="C99" s="32">
        <f>IF(J98&lt;=0,0,F99-J98)+IF(O98&lt;=0,0,K99-O98)+IF(T98&lt;=0,0,P99-T98)+IF(Y98&lt;=0,0,U99-Y98)+IF(AD98&lt;=0,0,Z99-AD98)+IF(AI98&lt;=0,0,AE99-AI98)+IF(AN98&lt;=0,0,AJ99-AN98)+IF(AS98&lt;=0,0,AO99-AS98)+IF(AX98&lt;=0,0,AT99-AX98)+IF(BC98&lt;=0,0,AY99-BC98)</f>
        <v/>
      </c>
      <c r="D99" s="32">
        <f>G99+I99+L99+N99+Q99+S99+V99+X99+AA99+AC99+AF99+AH99+AK99+AM99+AP99+AR99+AU99+AW99+AZ99+BB99</f>
        <v/>
      </c>
      <c r="E99" s="32">
        <f>J99+O99+T99+Y99+AD99+AI99+AN99+AS99+AX99+BC99</f>
        <v/>
      </c>
      <c r="F99" s="33">
        <f>IF(J98&lt;=0,0,ROUND(J98*(1+'Your debts'!$D$6/1200),2))</f>
        <v/>
      </c>
      <c r="G99" s="33">
        <f>IF(F99&lt;=0,0,MIN('Your debts'!$E$6,F99))</f>
        <v/>
      </c>
      <c r="H99" s="33">
        <f>F99-G99</f>
        <v/>
      </c>
      <c r="I99" s="33">
        <f>IF('Your debts'!$F$6="",0,MIN(H99,MAX(0,MAX(0,'Your debts'!$C$19-(G99+L99+Q99+V99+AA99+AF99+AK99+AP99+AU99+AZ99))-(IF(AND('Your debts'!$F$7&lt;&gt;"",'Your debts'!$F$6&lt;&gt;"",'Your debts'!$F$7&lt;'Your debts'!$F$6),M99,0)+IF(AND('Your debts'!$F$8&lt;&gt;"",'Your debts'!$F$6&lt;&gt;"",'Your debts'!$F$8&lt;'Your debts'!$F$6),R99,0)+IF(AND('Your debts'!$F$9&lt;&gt;"",'Your debts'!$F$6&lt;&gt;"",'Your debts'!$F$9&lt;'Your debts'!$F$6),W99,0)+IF(AND('Your debts'!$F$10&lt;&gt;"",'Your debts'!$F$6&lt;&gt;"",'Your debts'!$F$10&lt;'Your debts'!$F$6),AB99,0)+IF(AND('Your debts'!$F$11&lt;&gt;"",'Your debts'!$F$6&lt;&gt;"",'Your debts'!$F$11&lt;'Your debts'!$F$6),AG99,0)+IF(AND('Your debts'!$F$12&lt;&gt;"",'Your debts'!$F$6&lt;&gt;"",'Your debts'!$F$12&lt;'Your debts'!$F$6),AL99,0)+IF(AND('Your debts'!$F$13&lt;&gt;"",'Your debts'!$F$6&lt;&gt;"",'Your debts'!$F$13&lt;'Your debts'!$F$6),AQ99,0)+IF(AND('Your debts'!$F$14&lt;&gt;"",'Your debts'!$F$6&lt;&gt;"",'Your debts'!$F$14&lt;'Your debts'!$F$6),AV99,0)+IF(AND('Your debts'!$F$15&lt;&gt;"",'Your debts'!$F$6&lt;&gt;"",'Your debts'!$F$15&lt;'Your debts'!$F$6),BA99,0)))))</f>
        <v/>
      </c>
      <c r="J99" s="33">
        <f>H99-I99</f>
        <v/>
      </c>
      <c r="K99" s="33">
        <f>IF(O98&lt;=0,0,ROUND(O98*(1+'Your debts'!$D$7/1200),2))</f>
        <v/>
      </c>
      <c r="L99" s="33">
        <f>IF(K99&lt;=0,0,MIN('Your debts'!$E$7,K99))</f>
        <v/>
      </c>
      <c r="M99" s="33">
        <f>K99-L99</f>
        <v/>
      </c>
      <c r="N99" s="33">
        <f>IF('Your debts'!$F$7="",0,MIN(M99,MAX(0,MAX(0,'Your debts'!$C$19-(G99+L99+Q99+V99+AA99+AF99+AK99+AP99+AU99+AZ99))-(IF(AND('Your debts'!$F$6&lt;&gt;"",'Your debts'!$F$7&lt;&gt;"",'Your debts'!$F$6&lt;'Your debts'!$F$7),H99,0)+IF(AND('Your debts'!$F$8&lt;&gt;"",'Your debts'!$F$7&lt;&gt;"",'Your debts'!$F$8&lt;'Your debts'!$F$7),R99,0)+IF(AND('Your debts'!$F$9&lt;&gt;"",'Your debts'!$F$7&lt;&gt;"",'Your debts'!$F$9&lt;'Your debts'!$F$7),W99,0)+IF(AND('Your debts'!$F$10&lt;&gt;"",'Your debts'!$F$7&lt;&gt;"",'Your debts'!$F$10&lt;'Your debts'!$F$7),AB99,0)+IF(AND('Your debts'!$F$11&lt;&gt;"",'Your debts'!$F$7&lt;&gt;"",'Your debts'!$F$11&lt;'Your debts'!$F$7),AG99,0)+IF(AND('Your debts'!$F$12&lt;&gt;"",'Your debts'!$F$7&lt;&gt;"",'Your debts'!$F$12&lt;'Your debts'!$F$7),AL99,0)+IF(AND('Your debts'!$F$13&lt;&gt;"",'Your debts'!$F$7&lt;&gt;"",'Your debts'!$F$13&lt;'Your debts'!$F$7),AQ99,0)+IF(AND('Your debts'!$F$14&lt;&gt;"",'Your debts'!$F$7&lt;&gt;"",'Your debts'!$F$14&lt;'Your debts'!$F$7),AV99,0)+IF(AND('Your debts'!$F$15&lt;&gt;"",'Your debts'!$F$7&lt;&gt;"",'Your debts'!$F$15&lt;'Your debts'!$F$7),BA99,0)))))</f>
        <v/>
      </c>
      <c r="O99" s="33">
        <f>M99-N99</f>
        <v/>
      </c>
      <c r="P99" s="33">
        <f>IF(T98&lt;=0,0,ROUND(T98*(1+'Your debts'!$D$8/1200),2))</f>
        <v/>
      </c>
      <c r="Q99" s="33">
        <f>IF(P99&lt;=0,0,MIN('Your debts'!$E$8,P99))</f>
        <v/>
      </c>
      <c r="R99" s="33">
        <f>P99-Q99</f>
        <v/>
      </c>
      <c r="S99" s="33">
        <f>IF('Your debts'!$F$8="",0,MIN(R99,MAX(0,MAX(0,'Your debts'!$C$19-(G99+L99+Q99+V99+AA99+AF99+AK99+AP99+AU99+AZ99))-(IF(AND('Your debts'!$F$6&lt;&gt;"",'Your debts'!$F$8&lt;&gt;"",'Your debts'!$F$6&lt;'Your debts'!$F$8),H99,0)+IF(AND('Your debts'!$F$7&lt;&gt;"",'Your debts'!$F$8&lt;&gt;"",'Your debts'!$F$7&lt;'Your debts'!$F$8),M99,0)+IF(AND('Your debts'!$F$9&lt;&gt;"",'Your debts'!$F$8&lt;&gt;"",'Your debts'!$F$9&lt;'Your debts'!$F$8),W99,0)+IF(AND('Your debts'!$F$10&lt;&gt;"",'Your debts'!$F$8&lt;&gt;"",'Your debts'!$F$10&lt;'Your debts'!$F$8),AB99,0)+IF(AND('Your debts'!$F$11&lt;&gt;"",'Your debts'!$F$8&lt;&gt;"",'Your debts'!$F$11&lt;'Your debts'!$F$8),AG99,0)+IF(AND('Your debts'!$F$12&lt;&gt;"",'Your debts'!$F$8&lt;&gt;"",'Your debts'!$F$12&lt;'Your debts'!$F$8),AL99,0)+IF(AND('Your debts'!$F$13&lt;&gt;"",'Your debts'!$F$8&lt;&gt;"",'Your debts'!$F$13&lt;'Your debts'!$F$8),AQ99,0)+IF(AND('Your debts'!$F$14&lt;&gt;"",'Your debts'!$F$8&lt;&gt;"",'Your debts'!$F$14&lt;'Your debts'!$F$8),AV99,0)+IF(AND('Your debts'!$F$15&lt;&gt;"",'Your debts'!$F$8&lt;&gt;"",'Your debts'!$F$15&lt;'Your debts'!$F$8),BA99,0)))))</f>
        <v/>
      </c>
      <c r="T99" s="33">
        <f>R99-S99</f>
        <v/>
      </c>
      <c r="U99" s="33">
        <f>IF(Y98&lt;=0,0,ROUND(Y98*(1+'Your debts'!$D$9/1200),2))</f>
        <v/>
      </c>
      <c r="V99" s="33">
        <f>IF(U99&lt;=0,0,MIN('Your debts'!$E$9,U99))</f>
        <v/>
      </c>
      <c r="W99" s="33">
        <f>U99-V99</f>
        <v/>
      </c>
      <c r="X99" s="33">
        <f>IF('Your debts'!$F$9="",0,MIN(W99,MAX(0,MAX(0,'Your debts'!$C$19-(G99+L99+Q99+V99+AA99+AF99+AK99+AP99+AU99+AZ99))-(IF(AND('Your debts'!$F$6&lt;&gt;"",'Your debts'!$F$9&lt;&gt;"",'Your debts'!$F$6&lt;'Your debts'!$F$9),H99,0)+IF(AND('Your debts'!$F$7&lt;&gt;"",'Your debts'!$F$9&lt;&gt;"",'Your debts'!$F$7&lt;'Your debts'!$F$9),M99,0)+IF(AND('Your debts'!$F$8&lt;&gt;"",'Your debts'!$F$9&lt;&gt;"",'Your debts'!$F$8&lt;'Your debts'!$F$9),R99,0)+IF(AND('Your debts'!$F$10&lt;&gt;"",'Your debts'!$F$9&lt;&gt;"",'Your debts'!$F$10&lt;'Your debts'!$F$9),AB99,0)+IF(AND('Your debts'!$F$11&lt;&gt;"",'Your debts'!$F$9&lt;&gt;"",'Your debts'!$F$11&lt;'Your debts'!$F$9),AG99,0)+IF(AND('Your debts'!$F$12&lt;&gt;"",'Your debts'!$F$9&lt;&gt;"",'Your debts'!$F$12&lt;'Your debts'!$F$9),AL99,0)+IF(AND('Your debts'!$F$13&lt;&gt;"",'Your debts'!$F$9&lt;&gt;"",'Your debts'!$F$13&lt;'Your debts'!$F$9),AQ99,0)+IF(AND('Your debts'!$F$14&lt;&gt;"",'Your debts'!$F$9&lt;&gt;"",'Your debts'!$F$14&lt;'Your debts'!$F$9),AV99,0)+IF(AND('Your debts'!$F$15&lt;&gt;"",'Your debts'!$F$9&lt;&gt;"",'Your debts'!$F$15&lt;'Your debts'!$F$9),BA99,0)))))</f>
        <v/>
      </c>
      <c r="Y99" s="33">
        <f>W99-X99</f>
        <v/>
      </c>
      <c r="Z99" s="33">
        <f>IF(AD98&lt;=0,0,ROUND(AD98*(1+'Your debts'!$D$10/1200),2))</f>
        <v/>
      </c>
      <c r="AA99" s="33">
        <f>IF(Z99&lt;=0,0,MIN('Your debts'!$E$10,Z99))</f>
        <v/>
      </c>
      <c r="AB99" s="33">
        <f>Z99-AA99</f>
        <v/>
      </c>
      <c r="AC99" s="33">
        <f>IF('Your debts'!$F$10="",0,MIN(AB99,MAX(0,MAX(0,'Your debts'!$C$19-(G99+L99+Q99+V99+AA99+AF99+AK99+AP99+AU99+AZ99))-(IF(AND('Your debts'!$F$6&lt;&gt;"",'Your debts'!$F$10&lt;&gt;"",'Your debts'!$F$6&lt;'Your debts'!$F$10),H99,0)+IF(AND('Your debts'!$F$7&lt;&gt;"",'Your debts'!$F$10&lt;&gt;"",'Your debts'!$F$7&lt;'Your debts'!$F$10),M99,0)+IF(AND('Your debts'!$F$8&lt;&gt;"",'Your debts'!$F$10&lt;&gt;"",'Your debts'!$F$8&lt;'Your debts'!$F$10),R99,0)+IF(AND('Your debts'!$F$9&lt;&gt;"",'Your debts'!$F$10&lt;&gt;"",'Your debts'!$F$9&lt;'Your debts'!$F$10),W99,0)+IF(AND('Your debts'!$F$11&lt;&gt;"",'Your debts'!$F$10&lt;&gt;"",'Your debts'!$F$11&lt;'Your debts'!$F$10),AG99,0)+IF(AND('Your debts'!$F$12&lt;&gt;"",'Your debts'!$F$10&lt;&gt;"",'Your debts'!$F$12&lt;'Your debts'!$F$10),AL99,0)+IF(AND('Your debts'!$F$13&lt;&gt;"",'Your debts'!$F$10&lt;&gt;"",'Your debts'!$F$13&lt;'Your debts'!$F$10),AQ99,0)+IF(AND('Your debts'!$F$14&lt;&gt;"",'Your debts'!$F$10&lt;&gt;"",'Your debts'!$F$14&lt;'Your debts'!$F$10),AV99,0)+IF(AND('Your debts'!$F$15&lt;&gt;"",'Your debts'!$F$10&lt;&gt;"",'Your debts'!$F$15&lt;'Your debts'!$F$10),BA99,0)))))</f>
        <v/>
      </c>
      <c r="AD99" s="33">
        <f>AB99-AC99</f>
        <v/>
      </c>
      <c r="AE99" s="33">
        <f>IF(AI98&lt;=0,0,ROUND(AI98*(1+'Your debts'!$D$11/1200),2))</f>
        <v/>
      </c>
      <c r="AF99" s="33">
        <f>IF(AE99&lt;=0,0,MIN('Your debts'!$E$11,AE99))</f>
        <v/>
      </c>
      <c r="AG99" s="33">
        <f>AE99-AF99</f>
        <v/>
      </c>
      <c r="AH99" s="33">
        <f>IF('Your debts'!$F$11="",0,MIN(AG99,MAX(0,MAX(0,'Your debts'!$C$19-(G99+L99+Q99+V99+AA99+AF99+AK99+AP99+AU99+AZ99))-(IF(AND('Your debts'!$F$6&lt;&gt;"",'Your debts'!$F$11&lt;&gt;"",'Your debts'!$F$6&lt;'Your debts'!$F$11),H99,0)+IF(AND('Your debts'!$F$7&lt;&gt;"",'Your debts'!$F$11&lt;&gt;"",'Your debts'!$F$7&lt;'Your debts'!$F$11),M99,0)+IF(AND('Your debts'!$F$8&lt;&gt;"",'Your debts'!$F$11&lt;&gt;"",'Your debts'!$F$8&lt;'Your debts'!$F$11),R99,0)+IF(AND('Your debts'!$F$9&lt;&gt;"",'Your debts'!$F$11&lt;&gt;"",'Your debts'!$F$9&lt;'Your debts'!$F$11),W99,0)+IF(AND('Your debts'!$F$10&lt;&gt;"",'Your debts'!$F$11&lt;&gt;"",'Your debts'!$F$10&lt;'Your debts'!$F$11),AB99,0)+IF(AND('Your debts'!$F$12&lt;&gt;"",'Your debts'!$F$11&lt;&gt;"",'Your debts'!$F$12&lt;'Your debts'!$F$11),AL99,0)+IF(AND('Your debts'!$F$13&lt;&gt;"",'Your debts'!$F$11&lt;&gt;"",'Your debts'!$F$13&lt;'Your debts'!$F$11),AQ99,0)+IF(AND('Your debts'!$F$14&lt;&gt;"",'Your debts'!$F$11&lt;&gt;"",'Your debts'!$F$14&lt;'Your debts'!$F$11),AV99,0)+IF(AND('Your debts'!$F$15&lt;&gt;"",'Your debts'!$F$11&lt;&gt;"",'Your debts'!$F$15&lt;'Your debts'!$F$11),BA99,0)))))</f>
        <v/>
      </c>
      <c r="AI99" s="33">
        <f>AG99-AH99</f>
        <v/>
      </c>
      <c r="AJ99" s="33">
        <f>IF(AN98&lt;=0,0,ROUND(AN98*(1+'Your debts'!$D$12/1200),2))</f>
        <v/>
      </c>
      <c r="AK99" s="33">
        <f>IF(AJ99&lt;=0,0,MIN('Your debts'!$E$12,AJ99))</f>
        <v/>
      </c>
      <c r="AL99" s="33">
        <f>AJ99-AK99</f>
        <v/>
      </c>
      <c r="AM99" s="33">
        <f>IF('Your debts'!$F$12="",0,MIN(AL99,MAX(0,MAX(0,'Your debts'!$C$19-(G99+L99+Q99+V99+AA99+AF99+AK99+AP99+AU99+AZ99))-(IF(AND('Your debts'!$F$6&lt;&gt;"",'Your debts'!$F$12&lt;&gt;"",'Your debts'!$F$6&lt;'Your debts'!$F$12),H99,0)+IF(AND('Your debts'!$F$7&lt;&gt;"",'Your debts'!$F$12&lt;&gt;"",'Your debts'!$F$7&lt;'Your debts'!$F$12),M99,0)+IF(AND('Your debts'!$F$8&lt;&gt;"",'Your debts'!$F$12&lt;&gt;"",'Your debts'!$F$8&lt;'Your debts'!$F$12),R99,0)+IF(AND('Your debts'!$F$9&lt;&gt;"",'Your debts'!$F$12&lt;&gt;"",'Your debts'!$F$9&lt;'Your debts'!$F$12),W99,0)+IF(AND('Your debts'!$F$10&lt;&gt;"",'Your debts'!$F$12&lt;&gt;"",'Your debts'!$F$10&lt;'Your debts'!$F$12),AB99,0)+IF(AND('Your debts'!$F$11&lt;&gt;"",'Your debts'!$F$12&lt;&gt;"",'Your debts'!$F$11&lt;'Your debts'!$F$12),AG99,0)+IF(AND('Your debts'!$F$13&lt;&gt;"",'Your debts'!$F$12&lt;&gt;"",'Your debts'!$F$13&lt;'Your debts'!$F$12),AQ99,0)+IF(AND('Your debts'!$F$14&lt;&gt;"",'Your debts'!$F$12&lt;&gt;"",'Your debts'!$F$14&lt;'Your debts'!$F$12),AV99,0)+IF(AND('Your debts'!$F$15&lt;&gt;"",'Your debts'!$F$12&lt;&gt;"",'Your debts'!$F$15&lt;'Your debts'!$F$12),BA99,0)))))</f>
        <v/>
      </c>
      <c r="AN99" s="33">
        <f>AL99-AM99</f>
        <v/>
      </c>
      <c r="AO99" s="33">
        <f>IF(AS98&lt;=0,0,ROUND(AS98*(1+'Your debts'!$D$13/1200),2))</f>
        <v/>
      </c>
      <c r="AP99" s="33">
        <f>IF(AO99&lt;=0,0,MIN('Your debts'!$E$13,AO99))</f>
        <v/>
      </c>
      <c r="AQ99" s="33">
        <f>AO99-AP99</f>
        <v/>
      </c>
      <c r="AR99" s="33">
        <f>IF('Your debts'!$F$13="",0,MIN(AQ99,MAX(0,MAX(0,'Your debts'!$C$19-(G99+L99+Q99+V99+AA99+AF99+AK99+AP99+AU99+AZ99))-(IF(AND('Your debts'!$F$6&lt;&gt;"",'Your debts'!$F$13&lt;&gt;"",'Your debts'!$F$6&lt;'Your debts'!$F$13),H99,0)+IF(AND('Your debts'!$F$7&lt;&gt;"",'Your debts'!$F$13&lt;&gt;"",'Your debts'!$F$7&lt;'Your debts'!$F$13),M99,0)+IF(AND('Your debts'!$F$8&lt;&gt;"",'Your debts'!$F$13&lt;&gt;"",'Your debts'!$F$8&lt;'Your debts'!$F$13),R99,0)+IF(AND('Your debts'!$F$9&lt;&gt;"",'Your debts'!$F$13&lt;&gt;"",'Your debts'!$F$9&lt;'Your debts'!$F$13),W99,0)+IF(AND('Your debts'!$F$10&lt;&gt;"",'Your debts'!$F$13&lt;&gt;"",'Your debts'!$F$10&lt;'Your debts'!$F$13),AB99,0)+IF(AND('Your debts'!$F$11&lt;&gt;"",'Your debts'!$F$13&lt;&gt;"",'Your debts'!$F$11&lt;'Your debts'!$F$13),AG99,0)+IF(AND('Your debts'!$F$12&lt;&gt;"",'Your debts'!$F$13&lt;&gt;"",'Your debts'!$F$12&lt;'Your debts'!$F$13),AL99,0)+IF(AND('Your debts'!$F$14&lt;&gt;"",'Your debts'!$F$13&lt;&gt;"",'Your debts'!$F$14&lt;'Your debts'!$F$13),AV99,0)+IF(AND('Your debts'!$F$15&lt;&gt;"",'Your debts'!$F$13&lt;&gt;"",'Your debts'!$F$15&lt;'Your debts'!$F$13),BA99,0)))))</f>
        <v/>
      </c>
      <c r="AS99" s="33">
        <f>AQ99-AR99</f>
        <v/>
      </c>
      <c r="AT99" s="33">
        <f>IF(AX98&lt;=0,0,ROUND(AX98*(1+'Your debts'!$D$14/1200),2))</f>
        <v/>
      </c>
      <c r="AU99" s="33">
        <f>IF(AT99&lt;=0,0,MIN('Your debts'!$E$14,AT99))</f>
        <v/>
      </c>
      <c r="AV99" s="33">
        <f>AT99-AU99</f>
        <v/>
      </c>
      <c r="AW99" s="33">
        <f>IF('Your debts'!$F$14="",0,MIN(AV99,MAX(0,MAX(0,'Your debts'!$C$19-(G99+L99+Q99+V99+AA99+AF99+AK99+AP99+AU99+AZ99))-(IF(AND('Your debts'!$F$6&lt;&gt;"",'Your debts'!$F$14&lt;&gt;"",'Your debts'!$F$6&lt;'Your debts'!$F$14),H99,0)+IF(AND('Your debts'!$F$7&lt;&gt;"",'Your debts'!$F$14&lt;&gt;"",'Your debts'!$F$7&lt;'Your debts'!$F$14),M99,0)+IF(AND('Your debts'!$F$8&lt;&gt;"",'Your debts'!$F$14&lt;&gt;"",'Your debts'!$F$8&lt;'Your debts'!$F$14),R99,0)+IF(AND('Your debts'!$F$9&lt;&gt;"",'Your debts'!$F$14&lt;&gt;"",'Your debts'!$F$9&lt;'Your debts'!$F$14),W99,0)+IF(AND('Your debts'!$F$10&lt;&gt;"",'Your debts'!$F$14&lt;&gt;"",'Your debts'!$F$10&lt;'Your debts'!$F$14),AB99,0)+IF(AND('Your debts'!$F$11&lt;&gt;"",'Your debts'!$F$14&lt;&gt;"",'Your debts'!$F$11&lt;'Your debts'!$F$14),AG99,0)+IF(AND('Your debts'!$F$12&lt;&gt;"",'Your debts'!$F$14&lt;&gt;"",'Your debts'!$F$12&lt;'Your debts'!$F$14),AL99,0)+IF(AND('Your debts'!$F$13&lt;&gt;"",'Your debts'!$F$14&lt;&gt;"",'Your debts'!$F$13&lt;'Your debts'!$F$14),AQ99,0)+IF(AND('Your debts'!$F$15&lt;&gt;"",'Your debts'!$F$14&lt;&gt;"",'Your debts'!$F$15&lt;'Your debts'!$F$14),BA99,0)))))</f>
        <v/>
      </c>
      <c r="AX99" s="33">
        <f>AV99-AW99</f>
        <v/>
      </c>
      <c r="AY99" s="33">
        <f>IF(BC98&lt;=0,0,ROUND(BC98*(1+'Your debts'!$D$15/1200),2))</f>
        <v/>
      </c>
      <c r="AZ99" s="33">
        <f>IF(AY99&lt;=0,0,MIN('Your debts'!$E$15,AY99))</f>
        <v/>
      </c>
      <c r="BA99" s="33">
        <f>AY99-AZ99</f>
        <v/>
      </c>
      <c r="BB99" s="33">
        <f>IF('Your debts'!$F$15="",0,MIN(BA99,MAX(0,MAX(0,'Your debts'!$C$19-(G99+L99+Q99+V99+AA99+AF99+AK99+AP99+AU99+AZ99))-(IF(AND('Your debts'!$F$6&lt;&gt;"",'Your debts'!$F$15&lt;&gt;"",'Your debts'!$F$6&lt;'Your debts'!$F$15),H99,0)+IF(AND('Your debts'!$F$7&lt;&gt;"",'Your debts'!$F$15&lt;&gt;"",'Your debts'!$F$7&lt;'Your debts'!$F$15),M99,0)+IF(AND('Your debts'!$F$8&lt;&gt;"",'Your debts'!$F$15&lt;&gt;"",'Your debts'!$F$8&lt;'Your debts'!$F$15),R99,0)+IF(AND('Your debts'!$F$9&lt;&gt;"",'Your debts'!$F$15&lt;&gt;"",'Your debts'!$F$9&lt;'Your debts'!$F$15),W99,0)+IF(AND('Your debts'!$F$10&lt;&gt;"",'Your debts'!$F$15&lt;&gt;"",'Your debts'!$F$10&lt;'Your debts'!$F$15),AB99,0)+IF(AND('Your debts'!$F$11&lt;&gt;"",'Your debts'!$F$15&lt;&gt;"",'Your debts'!$F$11&lt;'Your debts'!$F$15),AG99,0)+IF(AND('Your debts'!$F$12&lt;&gt;"",'Your debts'!$F$15&lt;&gt;"",'Your debts'!$F$12&lt;'Your debts'!$F$15),AL99,0)+IF(AND('Your debts'!$F$13&lt;&gt;"",'Your debts'!$F$15&lt;&gt;"",'Your debts'!$F$13&lt;'Your debts'!$F$15),AQ99,0)+IF(AND('Your debts'!$F$14&lt;&gt;"",'Your debts'!$F$15&lt;&gt;"",'Your debts'!$F$14&lt;'Your debts'!$F$15),AV99,0)))))</f>
        <v/>
      </c>
      <c r="BC99" s="33">
        <f>BA99-BB99</f>
        <v/>
      </c>
    </row>
    <row r="100">
      <c r="A100" s="30" t="n">
        <v>85</v>
      </c>
      <c r="B100" s="31">
        <f>EDATE($B$15,85)</f>
        <v/>
      </c>
      <c r="C100" s="32">
        <f>IF(J99&lt;=0,0,F100-J99)+IF(O99&lt;=0,0,K100-O99)+IF(T99&lt;=0,0,P100-T99)+IF(Y99&lt;=0,0,U100-Y99)+IF(AD99&lt;=0,0,Z100-AD99)+IF(AI99&lt;=0,0,AE100-AI99)+IF(AN99&lt;=0,0,AJ100-AN99)+IF(AS99&lt;=0,0,AO100-AS99)+IF(AX99&lt;=0,0,AT100-AX99)+IF(BC99&lt;=0,0,AY100-BC99)</f>
        <v/>
      </c>
      <c r="D100" s="32">
        <f>G100+I100+L100+N100+Q100+S100+V100+X100+AA100+AC100+AF100+AH100+AK100+AM100+AP100+AR100+AU100+AW100+AZ100+BB100</f>
        <v/>
      </c>
      <c r="E100" s="32">
        <f>J100+O100+T100+Y100+AD100+AI100+AN100+AS100+AX100+BC100</f>
        <v/>
      </c>
      <c r="F100" s="33">
        <f>IF(J99&lt;=0,0,ROUND(J99*(1+'Your debts'!$D$6/1200),2))</f>
        <v/>
      </c>
      <c r="G100" s="33">
        <f>IF(F100&lt;=0,0,MIN('Your debts'!$E$6,F100))</f>
        <v/>
      </c>
      <c r="H100" s="33">
        <f>F100-G100</f>
        <v/>
      </c>
      <c r="I100" s="33">
        <f>IF('Your debts'!$F$6="",0,MIN(H100,MAX(0,MAX(0,'Your debts'!$C$19-(G100+L100+Q100+V100+AA100+AF100+AK100+AP100+AU100+AZ100))-(IF(AND('Your debts'!$F$7&lt;&gt;"",'Your debts'!$F$6&lt;&gt;"",'Your debts'!$F$7&lt;'Your debts'!$F$6),M100,0)+IF(AND('Your debts'!$F$8&lt;&gt;"",'Your debts'!$F$6&lt;&gt;"",'Your debts'!$F$8&lt;'Your debts'!$F$6),R100,0)+IF(AND('Your debts'!$F$9&lt;&gt;"",'Your debts'!$F$6&lt;&gt;"",'Your debts'!$F$9&lt;'Your debts'!$F$6),W100,0)+IF(AND('Your debts'!$F$10&lt;&gt;"",'Your debts'!$F$6&lt;&gt;"",'Your debts'!$F$10&lt;'Your debts'!$F$6),AB100,0)+IF(AND('Your debts'!$F$11&lt;&gt;"",'Your debts'!$F$6&lt;&gt;"",'Your debts'!$F$11&lt;'Your debts'!$F$6),AG100,0)+IF(AND('Your debts'!$F$12&lt;&gt;"",'Your debts'!$F$6&lt;&gt;"",'Your debts'!$F$12&lt;'Your debts'!$F$6),AL100,0)+IF(AND('Your debts'!$F$13&lt;&gt;"",'Your debts'!$F$6&lt;&gt;"",'Your debts'!$F$13&lt;'Your debts'!$F$6),AQ100,0)+IF(AND('Your debts'!$F$14&lt;&gt;"",'Your debts'!$F$6&lt;&gt;"",'Your debts'!$F$14&lt;'Your debts'!$F$6),AV100,0)+IF(AND('Your debts'!$F$15&lt;&gt;"",'Your debts'!$F$6&lt;&gt;"",'Your debts'!$F$15&lt;'Your debts'!$F$6),BA100,0)))))</f>
        <v/>
      </c>
      <c r="J100" s="33">
        <f>H100-I100</f>
        <v/>
      </c>
      <c r="K100" s="33">
        <f>IF(O99&lt;=0,0,ROUND(O99*(1+'Your debts'!$D$7/1200),2))</f>
        <v/>
      </c>
      <c r="L100" s="33">
        <f>IF(K100&lt;=0,0,MIN('Your debts'!$E$7,K100))</f>
        <v/>
      </c>
      <c r="M100" s="33">
        <f>K100-L100</f>
        <v/>
      </c>
      <c r="N100" s="33">
        <f>IF('Your debts'!$F$7="",0,MIN(M100,MAX(0,MAX(0,'Your debts'!$C$19-(G100+L100+Q100+V100+AA100+AF100+AK100+AP100+AU100+AZ100))-(IF(AND('Your debts'!$F$6&lt;&gt;"",'Your debts'!$F$7&lt;&gt;"",'Your debts'!$F$6&lt;'Your debts'!$F$7),H100,0)+IF(AND('Your debts'!$F$8&lt;&gt;"",'Your debts'!$F$7&lt;&gt;"",'Your debts'!$F$8&lt;'Your debts'!$F$7),R100,0)+IF(AND('Your debts'!$F$9&lt;&gt;"",'Your debts'!$F$7&lt;&gt;"",'Your debts'!$F$9&lt;'Your debts'!$F$7),W100,0)+IF(AND('Your debts'!$F$10&lt;&gt;"",'Your debts'!$F$7&lt;&gt;"",'Your debts'!$F$10&lt;'Your debts'!$F$7),AB100,0)+IF(AND('Your debts'!$F$11&lt;&gt;"",'Your debts'!$F$7&lt;&gt;"",'Your debts'!$F$11&lt;'Your debts'!$F$7),AG100,0)+IF(AND('Your debts'!$F$12&lt;&gt;"",'Your debts'!$F$7&lt;&gt;"",'Your debts'!$F$12&lt;'Your debts'!$F$7),AL100,0)+IF(AND('Your debts'!$F$13&lt;&gt;"",'Your debts'!$F$7&lt;&gt;"",'Your debts'!$F$13&lt;'Your debts'!$F$7),AQ100,0)+IF(AND('Your debts'!$F$14&lt;&gt;"",'Your debts'!$F$7&lt;&gt;"",'Your debts'!$F$14&lt;'Your debts'!$F$7),AV100,0)+IF(AND('Your debts'!$F$15&lt;&gt;"",'Your debts'!$F$7&lt;&gt;"",'Your debts'!$F$15&lt;'Your debts'!$F$7),BA100,0)))))</f>
        <v/>
      </c>
      <c r="O100" s="33">
        <f>M100-N100</f>
        <v/>
      </c>
      <c r="P100" s="33">
        <f>IF(T99&lt;=0,0,ROUND(T99*(1+'Your debts'!$D$8/1200),2))</f>
        <v/>
      </c>
      <c r="Q100" s="33">
        <f>IF(P100&lt;=0,0,MIN('Your debts'!$E$8,P100))</f>
        <v/>
      </c>
      <c r="R100" s="33">
        <f>P100-Q100</f>
        <v/>
      </c>
      <c r="S100" s="33">
        <f>IF('Your debts'!$F$8="",0,MIN(R100,MAX(0,MAX(0,'Your debts'!$C$19-(G100+L100+Q100+V100+AA100+AF100+AK100+AP100+AU100+AZ100))-(IF(AND('Your debts'!$F$6&lt;&gt;"",'Your debts'!$F$8&lt;&gt;"",'Your debts'!$F$6&lt;'Your debts'!$F$8),H100,0)+IF(AND('Your debts'!$F$7&lt;&gt;"",'Your debts'!$F$8&lt;&gt;"",'Your debts'!$F$7&lt;'Your debts'!$F$8),M100,0)+IF(AND('Your debts'!$F$9&lt;&gt;"",'Your debts'!$F$8&lt;&gt;"",'Your debts'!$F$9&lt;'Your debts'!$F$8),W100,0)+IF(AND('Your debts'!$F$10&lt;&gt;"",'Your debts'!$F$8&lt;&gt;"",'Your debts'!$F$10&lt;'Your debts'!$F$8),AB100,0)+IF(AND('Your debts'!$F$11&lt;&gt;"",'Your debts'!$F$8&lt;&gt;"",'Your debts'!$F$11&lt;'Your debts'!$F$8),AG100,0)+IF(AND('Your debts'!$F$12&lt;&gt;"",'Your debts'!$F$8&lt;&gt;"",'Your debts'!$F$12&lt;'Your debts'!$F$8),AL100,0)+IF(AND('Your debts'!$F$13&lt;&gt;"",'Your debts'!$F$8&lt;&gt;"",'Your debts'!$F$13&lt;'Your debts'!$F$8),AQ100,0)+IF(AND('Your debts'!$F$14&lt;&gt;"",'Your debts'!$F$8&lt;&gt;"",'Your debts'!$F$14&lt;'Your debts'!$F$8),AV100,0)+IF(AND('Your debts'!$F$15&lt;&gt;"",'Your debts'!$F$8&lt;&gt;"",'Your debts'!$F$15&lt;'Your debts'!$F$8),BA100,0)))))</f>
        <v/>
      </c>
      <c r="T100" s="33">
        <f>R100-S100</f>
        <v/>
      </c>
      <c r="U100" s="33">
        <f>IF(Y99&lt;=0,0,ROUND(Y99*(1+'Your debts'!$D$9/1200),2))</f>
        <v/>
      </c>
      <c r="V100" s="33">
        <f>IF(U100&lt;=0,0,MIN('Your debts'!$E$9,U100))</f>
        <v/>
      </c>
      <c r="W100" s="33">
        <f>U100-V100</f>
        <v/>
      </c>
      <c r="X100" s="33">
        <f>IF('Your debts'!$F$9="",0,MIN(W100,MAX(0,MAX(0,'Your debts'!$C$19-(G100+L100+Q100+V100+AA100+AF100+AK100+AP100+AU100+AZ100))-(IF(AND('Your debts'!$F$6&lt;&gt;"",'Your debts'!$F$9&lt;&gt;"",'Your debts'!$F$6&lt;'Your debts'!$F$9),H100,0)+IF(AND('Your debts'!$F$7&lt;&gt;"",'Your debts'!$F$9&lt;&gt;"",'Your debts'!$F$7&lt;'Your debts'!$F$9),M100,0)+IF(AND('Your debts'!$F$8&lt;&gt;"",'Your debts'!$F$9&lt;&gt;"",'Your debts'!$F$8&lt;'Your debts'!$F$9),R100,0)+IF(AND('Your debts'!$F$10&lt;&gt;"",'Your debts'!$F$9&lt;&gt;"",'Your debts'!$F$10&lt;'Your debts'!$F$9),AB100,0)+IF(AND('Your debts'!$F$11&lt;&gt;"",'Your debts'!$F$9&lt;&gt;"",'Your debts'!$F$11&lt;'Your debts'!$F$9),AG100,0)+IF(AND('Your debts'!$F$12&lt;&gt;"",'Your debts'!$F$9&lt;&gt;"",'Your debts'!$F$12&lt;'Your debts'!$F$9),AL100,0)+IF(AND('Your debts'!$F$13&lt;&gt;"",'Your debts'!$F$9&lt;&gt;"",'Your debts'!$F$13&lt;'Your debts'!$F$9),AQ100,0)+IF(AND('Your debts'!$F$14&lt;&gt;"",'Your debts'!$F$9&lt;&gt;"",'Your debts'!$F$14&lt;'Your debts'!$F$9),AV100,0)+IF(AND('Your debts'!$F$15&lt;&gt;"",'Your debts'!$F$9&lt;&gt;"",'Your debts'!$F$15&lt;'Your debts'!$F$9),BA100,0)))))</f>
        <v/>
      </c>
      <c r="Y100" s="33">
        <f>W100-X100</f>
        <v/>
      </c>
      <c r="Z100" s="33">
        <f>IF(AD99&lt;=0,0,ROUND(AD99*(1+'Your debts'!$D$10/1200),2))</f>
        <v/>
      </c>
      <c r="AA100" s="33">
        <f>IF(Z100&lt;=0,0,MIN('Your debts'!$E$10,Z100))</f>
        <v/>
      </c>
      <c r="AB100" s="33">
        <f>Z100-AA100</f>
        <v/>
      </c>
      <c r="AC100" s="33">
        <f>IF('Your debts'!$F$10="",0,MIN(AB100,MAX(0,MAX(0,'Your debts'!$C$19-(G100+L100+Q100+V100+AA100+AF100+AK100+AP100+AU100+AZ100))-(IF(AND('Your debts'!$F$6&lt;&gt;"",'Your debts'!$F$10&lt;&gt;"",'Your debts'!$F$6&lt;'Your debts'!$F$10),H100,0)+IF(AND('Your debts'!$F$7&lt;&gt;"",'Your debts'!$F$10&lt;&gt;"",'Your debts'!$F$7&lt;'Your debts'!$F$10),M100,0)+IF(AND('Your debts'!$F$8&lt;&gt;"",'Your debts'!$F$10&lt;&gt;"",'Your debts'!$F$8&lt;'Your debts'!$F$10),R100,0)+IF(AND('Your debts'!$F$9&lt;&gt;"",'Your debts'!$F$10&lt;&gt;"",'Your debts'!$F$9&lt;'Your debts'!$F$10),W100,0)+IF(AND('Your debts'!$F$11&lt;&gt;"",'Your debts'!$F$10&lt;&gt;"",'Your debts'!$F$11&lt;'Your debts'!$F$10),AG100,0)+IF(AND('Your debts'!$F$12&lt;&gt;"",'Your debts'!$F$10&lt;&gt;"",'Your debts'!$F$12&lt;'Your debts'!$F$10),AL100,0)+IF(AND('Your debts'!$F$13&lt;&gt;"",'Your debts'!$F$10&lt;&gt;"",'Your debts'!$F$13&lt;'Your debts'!$F$10),AQ100,0)+IF(AND('Your debts'!$F$14&lt;&gt;"",'Your debts'!$F$10&lt;&gt;"",'Your debts'!$F$14&lt;'Your debts'!$F$10),AV100,0)+IF(AND('Your debts'!$F$15&lt;&gt;"",'Your debts'!$F$10&lt;&gt;"",'Your debts'!$F$15&lt;'Your debts'!$F$10),BA100,0)))))</f>
        <v/>
      </c>
      <c r="AD100" s="33">
        <f>AB100-AC100</f>
        <v/>
      </c>
      <c r="AE100" s="33">
        <f>IF(AI99&lt;=0,0,ROUND(AI99*(1+'Your debts'!$D$11/1200),2))</f>
        <v/>
      </c>
      <c r="AF100" s="33">
        <f>IF(AE100&lt;=0,0,MIN('Your debts'!$E$11,AE100))</f>
        <v/>
      </c>
      <c r="AG100" s="33">
        <f>AE100-AF100</f>
        <v/>
      </c>
      <c r="AH100" s="33">
        <f>IF('Your debts'!$F$11="",0,MIN(AG100,MAX(0,MAX(0,'Your debts'!$C$19-(G100+L100+Q100+V100+AA100+AF100+AK100+AP100+AU100+AZ100))-(IF(AND('Your debts'!$F$6&lt;&gt;"",'Your debts'!$F$11&lt;&gt;"",'Your debts'!$F$6&lt;'Your debts'!$F$11),H100,0)+IF(AND('Your debts'!$F$7&lt;&gt;"",'Your debts'!$F$11&lt;&gt;"",'Your debts'!$F$7&lt;'Your debts'!$F$11),M100,0)+IF(AND('Your debts'!$F$8&lt;&gt;"",'Your debts'!$F$11&lt;&gt;"",'Your debts'!$F$8&lt;'Your debts'!$F$11),R100,0)+IF(AND('Your debts'!$F$9&lt;&gt;"",'Your debts'!$F$11&lt;&gt;"",'Your debts'!$F$9&lt;'Your debts'!$F$11),W100,0)+IF(AND('Your debts'!$F$10&lt;&gt;"",'Your debts'!$F$11&lt;&gt;"",'Your debts'!$F$10&lt;'Your debts'!$F$11),AB100,0)+IF(AND('Your debts'!$F$12&lt;&gt;"",'Your debts'!$F$11&lt;&gt;"",'Your debts'!$F$12&lt;'Your debts'!$F$11),AL100,0)+IF(AND('Your debts'!$F$13&lt;&gt;"",'Your debts'!$F$11&lt;&gt;"",'Your debts'!$F$13&lt;'Your debts'!$F$11),AQ100,0)+IF(AND('Your debts'!$F$14&lt;&gt;"",'Your debts'!$F$11&lt;&gt;"",'Your debts'!$F$14&lt;'Your debts'!$F$11),AV100,0)+IF(AND('Your debts'!$F$15&lt;&gt;"",'Your debts'!$F$11&lt;&gt;"",'Your debts'!$F$15&lt;'Your debts'!$F$11),BA100,0)))))</f>
        <v/>
      </c>
      <c r="AI100" s="33">
        <f>AG100-AH100</f>
        <v/>
      </c>
      <c r="AJ100" s="33">
        <f>IF(AN99&lt;=0,0,ROUND(AN99*(1+'Your debts'!$D$12/1200),2))</f>
        <v/>
      </c>
      <c r="AK100" s="33">
        <f>IF(AJ100&lt;=0,0,MIN('Your debts'!$E$12,AJ100))</f>
        <v/>
      </c>
      <c r="AL100" s="33">
        <f>AJ100-AK100</f>
        <v/>
      </c>
      <c r="AM100" s="33">
        <f>IF('Your debts'!$F$12="",0,MIN(AL100,MAX(0,MAX(0,'Your debts'!$C$19-(G100+L100+Q100+V100+AA100+AF100+AK100+AP100+AU100+AZ100))-(IF(AND('Your debts'!$F$6&lt;&gt;"",'Your debts'!$F$12&lt;&gt;"",'Your debts'!$F$6&lt;'Your debts'!$F$12),H100,0)+IF(AND('Your debts'!$F$7&lt;&gt;"",'Your debts'!$F$12&lt;&gt;"",'Your debts'!$F$7&lt;'Your debts'!$F$12),M100,0)+IF(AND('Your debts'!$F$8&lt;&gt;"",'Your debts'!$F$12&lt;&gt;"",'Your debts'!$F$8&lt;'Your debts'!$F$12),R100,0)+IF(AND('Your debts'!$F$9&lt;&gt;"",'Your debts'!$F$12&lt;&gt;"",'Your debts'!$F$9&lt;'Your debts'!$F$12),W100,0)+IF(AND('Your debts'!$F$10&lt;&gt;"",'Your debts'!$F$12&lt;&gt;"",'Your debts'!$F$10&lt;'Your debts'!$F$12),AB100,0)+IF(AND('Your debts'!$F$11&lt;&gt;"",'Your debts'!$F$12&lt;&gt;"",'Your debts'!$F$11&lt;'Your debts'!$F$12),AG100,0)+IF(AND('Your debts'!$F$13&lt;&gt;"",'Your debts'!$F$12&lt;&gt;"",'Your debts'!$F$13&lt;'Your debts'!$F$12),AQ100,0)+IF(AND('Your debts'!$F$14&lt;&gt;"",'Your debts'!$F$12&lt;&gt;"",'Your debts'!$F$14&lt;'Your debts'!$F$12),AV100,0)+IF(AND('Your debts'!$F$15&lt;&gt;"",'Your debts'!$F$12&lt;&gt;"",'Your debts'!$F$15&lt;'Your debts'!$F$12),BA100,0)))))</f>
        <v/>
      </c>
      <c r="AN100" s="33">
        <f>AL100-AM100</f>
        <v/>
      </c>
      <c r="AO100" s="33">
        <f>IF(AS99&lt;=0,0,ROUND(AS99*(1+'Your debts'!$D$13/1200),2))</f>
        <v/>
      </c>
      <c r="AP100" s="33">
        <f>IF(AO100&lt;=0,0,MIN('Your debts'!$E$13,AO100))</f>
        <v/>
      </c>
      <c r="AQ100" s="33">
        <f>AO100-AP100</f>
        <v/>
      </c>
      <c r="AR100" s="33">
        <f>IF('Your debts'!$F$13="",0,MIN(AQ100,MAX(0,MAX(0,'Your debts'!$C$19-(G100+L100+Q100+V100+AA100+AF100+AK100+AP100+AU100+AZ100))-(IF(AND('Your debts'!$F$6&lt;&gt;"",'Your debts'!$F$13&lt;&gt;"",'Your debts'!$F$6&lt;'Your debts'!$F$13),H100,0)+IF(AND('Your debts'!$F$7&lt;&gt;"",'Your debts'!$F$13&lt;&gt;"",'Your debts'!$F$7&lt;'Your debts'!$F$13),M100,0)+IF(AND('Your debts'!$F$8&lt;&gt;"",'Your debts'!$F$13&lt;&gt;"",'Your debts'!$F$8&lt;'Your debts'!$F$13),R100,0)+IF(AND('Your debts'!$F$9&lt;&gt;"",'Your debts'!$F$13&lt;&gt;"",'Your debts'!$F$9&lt;'Your debts'!$F$13),W100,0)+IF(AND('Your debts'!$F$10&lt;&gt;"",'Your debts'!$F$13&lt;&gt;"",'Your debts'!$F$10&lt;'Your debts'!$F$13),AB100,0)+IF(AND('Your debts'!$F$11&lt;&gt;"",'Your debts'!$F$13&lt;&gt;"",'Your debts'!$F$11&lt;'Your debts'!$F$13),AG100,0)+IF(AND('Your debts'!$F$12&lt;&gt;"",'Your debts'!$F$13&lt;&gt;"",'Your debts'!$F$12&lt;'Your debts'!$F$13),AL100,0)+IF(AND('Your debts'!$F$14&lt;&gt;"",'Your debts'!$F$13&lt;&gt;"",'Your debts'!$F$14&lt;'Your debts'!$F$13),AV100,0)+IF(AND('Your debts'!$F$15&lt;&gt;"",'Your debts'!$F$13&lt;&gt;"",'Your debts'!$F$15&lt;'Your debts'!$F$13),BA100,0)))))</f>
        <v/>
      </c>
      <c r="AS100" s="33">
        <f>AQ100-AR100</f>
        <v/>
      </c>
      <c r="AT100" s="33">
        <f>IF(AX99&lt;=0,0,ROUND(AX99*(1+'Your debts'!$D$14/1200),2))</f>
        <v/>
      </c>
      <c r="AU100" s="33">
        <f>IF(AT100&lt;=0,0,MIN('Your debts'!$E$14,AT100))</f>
        <v/>
      </c>
      <c r="AV100" s="33">
        <f>AT100-AU100</f>
        <v/>
      </c>
      <c r="AW100" s="33">
        <f>IF('Your debts'!$F$14="",0,MIN(AV100,MAX(0,MAX(0,'Your debts'!$C$19-(G100+L100+Q100+V100+AA100+AF100+AK100+AP100+AU100+AZ100))-(IF(AND('Your debts'!$F$6&lt;&gt;"",'Your debts'!$F$14&lt;&gt;"",'Your debts'!$F$6&lt;'Your debts'!$F$14),H100,0)+IF(AND('Your debts'!$F$7&lt;&gt;"",'Your debts'!$F$14&lt;&gt;"",'Your debts'!$F$7&lt;'Your debts'!$F$14),M100,0)+IF(AND('Your debts'!$F$8&lt;&gt;"",'Your debts'!$F$14&lt;&gt;"",'Your debts'!$F$8&lt;'Your debts'!$F$14),R100,0)+IF(AND('Your debts'!$F$9&lt;&gt;"",'Your debts'!$F$14&lt;&gt;"",'Your debts'!$F$9&lt;'Your debts'!$F$14),W100,0)+IF(AND('Your debts'!$F$10&lt;&gt;"",'Your debts'!$F$14&lt;&gt;"",'Your debts'!$F$10&lt;'Your debts'!$F$14),AB100,0)+IF(AND('Your debts'!$F$11&lt;&gt;"",'Your debts'!$F$14&lt;&gt;"",'Your debts'!$F$11&lt;'Your debts'!$F$14),AG100,0)+IF(AND('Your debts'!$F$12&lt;&gt;"",'Your debts'!$F$14&lt;&gt;"",'Your debts'!$F$12&lt;'Your debts'!$F$14),AL100,0)+IF(AND('Your debts'!$F$13&lt;&gt;"",'Your debts'!$F$14&lt;&gt;"",'Your debts'!$F$13&lt;'Your debts'!$F$14),AQ100,0)+IF(AND('Your debts'!$F$15&lt;&gt;"",'Your debts'!$F$14&lt;&gt;"",'Your debts'!$F$15&lt;'Your debts'!$F$14),BA100,0)))))</f>
        <v/>
      </c>
      <c r="AX100" s="33">
        <f>AV100-AW100</f>
        <v/>
      </c>
      <c r="AY100" s="33">
        <f>IF(BC99&lt;=0,0,ROUND(BC99*(1+'Your debts'!$D$15/1200),2))</f>
        <v/>
      </c>
      <c r="AZ100" s="33">
        <f>IF(AY100&lt;=0,0,MIN('Your debts'!$E$15,AY100))</f>
        <v/>
      </c>
      <c r="BA100" s="33">
        <f>AY100-AZ100</f>
        <v/>
      </c>
      <c r="BB100" s="33">
        <f>IF('Your debts'!$F$15="",0,MIN(BA100,MAX(0,MAX(0,'Your debts'!$C$19-(G100+L100+Q100+V100+AA100+AF100+AK100+AP100+AU100+AZ100))-(IF(AND('Your debts'!$F$6&lt;&gt;"",'Your debts'!$F$15&lt;&gt;"",'Your debts'!$F$6&lt;'Your debts'!$F$15),H100,0)+IF(AND('Your debts'!$F$7&lt;&gt;"",'Your debts'!$F$15&lt;&gt;"",'Your debts'!$F$7&lt;'Your debts'!$F$15),M100,0)+IF(AND('Your debts'!$F$8&lt;&gt;"",'Your debts'!$F$15&lt;&gt;"",'Your debts'!$F$8&lt;'Your debts'!$F$15),R100,0)+IF(AND('Your debts'!$F$9&lt;&gt;"",'Your debts'!$F$15&lt;&gt;"",'Your debts'!$F$9&lt;'Your debts'!$F$15),W100,0)+IF(AND('Your debts'!$F$10&lt;&gt;"",'Your debts'!$F$15&lt;&gt;"",'Your debts'!$F$10&lt;'Your debts'!$F$15),AB100,0)+IF(AND('Your debts'!$F$11&lt;&gt;"",'Your debts'!$F$15&lt;&gt;"",'Your debts'!$F$11&lt;'Your debts'!$F$15),AG100,0)+IF(AND('Your debts'!$F$12&lt;&gt;"",'Your debts'!$F$15&lt;&gt;"",'Your debts'!$F$12&lt;'Your debts'!$F$15),AL100,0)+IF(AND('Your debts'!$F$13&lt;&gt;"",'Your debts'!$F$15&lt;&gt;"",'Your debts'!$F$13&lt;'Your debts'!$F$15),AQ100,0)+IF(AND('Your debts'!$F$14&lt;&gt;"",'Your debts'!$F$15&lt;&gt;"",'Your debts'!$F$14&lt;'Your debts'!$F$15),AV100,0)))))</f>
        <v/>
      </c>
      <c r="BC100" s="33">
        <f>BA100-BB100</f>
        <v/>
      </c>
    </row>
    <row r="101">
      <c r="A101" s="30" t="n">
        <v>86</v>
      </c>
      <c r="B101" s="31">
        <f>EDATE($B$15,86)</f>
        <v/>
      </c>
      <c r="C101" s="32">
        <f>IF(J100&lt;=0,0,F101-J100)+IF(O100&lt;=0,0,K101-O100)+IF(T100&lt;=0,0,P101-T100)+IF(Y100&lt;=0,0,U101-Y100)+IF(AD100&lt;=0,0,Z101-AD100)+IF(AI100&lt;=0,0,AE101-AI100)+IF(AN100&lt;=0,0,AJ101-AN100)+IF(AS100&lt;=0,0,AO101-AS100)+IF(AX100&lt;=0,0,AT101-AX100)+IF(BC100&lt;=0,0,AY101-BC100)</f>
        <v/>
      </c>
      <c r="D101" s="32">
        <f>G101+I101+L101+N101+Q101+S101+V101+X101+AA101+AC101+AF101+AH101+AK101+AM101+AP101+AR101+AU101+AW101+AZ101+BB101</f>
        <v/>
      </c>
      <c r="E101" s="32">
        <f>J101+O101+T101+Y101+AD101+AI101+AN101+AS101+AX101+BC101</f>
        <v/>
      </c>
      <c r="F101" s="33">
        <f>IF(J100&lt;=0,0,ROUND(J100*(1+'Your debts'!$D$6/1200),2))</f>
        <v/>
      </c>
      <c r="G101" s="33">
        <f>IF(F101&lt;=0,0,MIN('Your debts'!$E$6,F101))</f>
        <v/>
      </c>
      <c r="H101" s="33">
        <f>F101-G101</f>
        <v/>
      </c>
      <c r="I101" s="33">
        <f>IF('Your debts'!$F$6="",0,MIN(H101,MAX(0,MAX(0,'Your debts'!$C$19-(G101+L101+Q101+V101+AA101+AF101+AK101+AP101+AU101+AZ101))-(IF(AND('Your debts'!$F$7&lt;&gt;"",'Your debts'!$F$6&lt;&gt;"",'Your debts'!$F$7&lt;'Your debts'!$F$6),M101,0)+IF(AND('Your debts'!$F$8&lt;&gt;"",'Your debts'!$F$6&lt;&gt;"",'Your debts'!$F$8&lt;'Your debts'!$F$6),R101,0)+IF(AND('Your debts'!$F$9&lt;&gt;"",'Your debts'!$F$6&lt;&gt;"",'Your debts'!$F$9&lt;'Your debts'!$F$6),W101,0)+IF(AND('Your debts'!$F$10&lt;&gt;"",'Your debts'!$F$6&lt;&gt;"",'Your debts'!$F$10&lt;'Your debts'!$F$6),AB101,0)+IF(AND('Your debts'!$F$11&lt;&gt;"",'Your debts'!$F$6&lt;&gt;"",'Your debts'!$F$11&lt;'Your debts'!$F$6),AG101,0)+IF(AND('Your debts'!$F$12&lt;&gt;"",'Your debts'!$F$6&lt;&gt;"",'Your debts'!$F$12&lt;'Your debts'!$F$6),AL101,0)+IF(AND('Your debts'!$F$13&lt;&gt;"",'Your debts'!$F$6&lt;&gt;"",'Your debts'!$F$13&lt;'Your debts'!$F$6),AQ101,0)+IF(AND('Your debts'!$F$14&lt;&gt;"",'Your debts'!$F$6&lt;&gt;"",'Your debts'!$F$14&lt;'Your debts'!$F$6),AV101,0)+IF(AND('Your debts'!$F$15&lt;&gt;"",'Your debts'!$F$6&lt;&gt;"",'Your debts'!$F$15&lt;'Your debts'!$F$6),BA101,0)))))</f>
        <v/>
      </c>
      <c r="J101" s="33">
        <f>H101-I101</f>
        <v/>
      </c>
      <c r="K101" s="33">
        <f>IF(O100&lt;=0,0,ROUND(O100*(1+'Your debts'!$D$7/1200),2))</f>
        <v/>
      </c>
      <c r="L101" s="33">
        <f>IF(K101&lt;=0,0,MIN('Your debts'!$E$7,K101))</f>
        <v/>
      </c>
      <c r="M101" s="33">
        <f>K101-L101</f>
        <v/>
      </c>
      <c r="N101" s="33">
        <f>IF('Your debts'!$F$7="",0,MIN(M101,MAX(0,MAX(0,'Your debts'!$C$19-(G101+L101+Q101+V101+AA101+AF101+AK101+AP101+AU101+AZ101))-(IF(AND('Your debts'!$F$6&lt;&gt;"",'Your debts'!$F$7&lt;&gt;"",'Your debts'!$F$6&lt;'Your debts'!$F$7),H101,0)+IF(AND('Your debts'!$F$8&lt;&gt;"",'Your debts'!$F$7&lt;&gt;"",'Your debts'!$F$8&lt;'Your debts'!$F$7),R101,0)+IF(AND('Your debts'!$F$9&lt;&gt;"",'Your debts'!$F$7&lt;&gt;"",'Your debts'!$F$9&lt;'Your debts'!$F$7),W101,0)+IF(AND('Your debts'!$F$10&lt;&gt;"",'Your debts'!$F$7&lt;&gt;"",'Your debts'!$F$10&lt;'Your debts'!$F$7),AB101,0)+IF(AND('Your debts'!$F$11&lt;&gt;"",'Your debts'!$F$7&lt;&gt;"",'Your debts'!$F$11&lt;'Your debts'!$F$7),AG101,0)+IF(AND('Your debts'!$F$12&lt;&gt;"",'Your debts'!$F$7&lt;&gt;"",'Your debts'!$F$12&lt;'Your debts'!$F$7),AL101,0)+IF(AND('Your debts'!$F$13&lt;&gt;"",'Your debts'!$F$7&lt;&gt;"",'Your debts'!$F$13&lt;'Your debts'!$F$7),AQ101,0)+IF(AND('Your debts'!$F$14&lt;&gt;"",'Your debts'!$F$7&lt;&gt;"",'Your debts'!$F$14&lt;'Your debts'!$F$7),AV101,0)+IF(AND('Your debts'!$F$15&lt;&gt;"",'Your debts'!$F$7&lt;&gt;"",'Your debts'!$F$15&lt;'Your debts'!$F$7),BA101,0)))))</f>
        <v/>
      </c>
      <c r="O101" s="33">
        <f>M101-N101</f>
        <v/>
      </c>
      <c r="P101" s="33">
        <f>IF(T100&lt;=0,0,ROUND(T100*(1+'Your debts'!$D$8/1200),2))</f>
        <v/>
      </c>
      <c r="Q101" s="33">
        <f>IF(P101&lt;=0,0,MIN('Your debts'!$E$8,P101))</f>
        <v/>
      </c>
      <c r="R101" s="33">
        <f>P101-Q101</f>
        <v/>
      </c>
      <c r="S101" s="33">
        <f>IF('Your debts'!$F$8="",0,MIN(R101,MAX(0,MAX(0,'Your debts'!$C$19-(G101+L101+Q101+V101+AA101+AF101+AK101+AP101+AU101+AZ101))-(IF(AND('Your debts'!$F$6&lt;&gt;"",'Your debts'!$F$8&lt;&gt;"",'Your debts'!$F$6&lt;'Your debts'!$F$8),H101,0)+IF(AND('Your debts'!$F$7&lt;&gt;"",'Your debts'!$F$8&lt;&gt;"",'Your debts'!$F$7&lt;'Your debts'!$F$8),M101,0)+IF(AND('Your debts'!$F$9&lt;&gt;"",'Your debts'!$F$8&lt;&gt;"",'Your debts'!$F$9&lt;'Your debts'!$F$8),W101,0)+IF(AND('Your debts'!$F$10&lt;&gt;"",'Your debts'!$F$8&lt;&gt;"",'Your debts'!$F$10&lt;'Your debts'!$F$8),AB101,0)+IF(AND('Your debts'!$F$11&lt;&gt;"",'Your debts'!$F$8&lt;&gt;"",'Your debts'!$F$11&lt;'Your debts'!$F$8),AG101,0)+IF(AND('Your debts'!$F$12&lt;&gt;"",'Your debts'!$F$8&lt;&gt;"",'Your debts'!$F$12&lt;'Your debts'!$F$8),AL101,0)+IF(AND('Your debts'!$F$13&lt;&gt;"",'Your debts'!$F$8&lt;&gt;"",'Your debts'!$F$13&lt;'Your debts'!$F$8),AQ101,0)+IF(AND('Your debts'!$F$14&lt;&gt;"",'Your debts'!$F$8&lt;&gt;"",'Your debts'!$F$14&lt;'Your debts'!$F$8),AV101,0)+IF(AND('Your debts'!$F$15&lt;&gt;"",'Your debts'!$F$8&lt;&gt;"",'Your debts'!$F$15&lt;'Your debts'!$F$8),BA101,0)))))</f>
        <v/>
      </c>
      <c r="T101" s="33">
        <f>R101-S101</f>
        <v/>
      </c>
      <c r="U101" s="33">
        <f>IF(Y100&lt;=0,0,ROUND(Y100*(1+'Your debts'!$D$9/1200),2))</f>
        <v/>
      </c>
      <c r="V101" s="33">
        <f>IF(U101&lt;=0,0,MIN('Your debts'!$E$9,U101))</f>
        <v/>
      </c>
      <c r="W101" s="33">
        <f>U101-V101</f>
        <v/>
      </c>
      <c r="X101" s="33">
        <f>IF('Your debts'!$F$9="",0,MIN(W101,MAX(0,MAX(0,'Your debts'!$C$19-(G101+L101+Q101+V101+AA101+AF101+AK101+AP101+AU101+AZ101))-(IF(AND('Your debts'!$F$6&lt;&gt;"",'Your debts'!$F$9&lt;&gt;"",'Your debts'!$F$6&lt;'Your debts'!$F$9),H101,0)+IF(AND('Your debts'!$F$7&lt;&gt;"",'Your debts'!$F$9&lt;&gt;"",'Your debts'!$F$7&lt;'Your debts'!$F$9),M101,0)+IF(AND('Your debts'!$F$8&lt;&gt;"",'Your debts'!$F$9&lt;&gt;"",'Your debts'!$F$8&lt;'Your debts'!$F$9),R101,0)+IF(AND('Your debts'!$F$10&lt;&gt;"",'Your debts'!$F$9&lt;&gt;"",'Your debts'!$F$10&lt;'Your debts'!$F$9),AB101,0)+IF(AND('Your debts'!$F$11&lt;&gt;"",'Your debts'!$F$9&lt;&gt;"",'Your debts'!$F$11&lt;'Your debts'!$F$9),AG101,0)+IF(AND('Your debts'!$F$12&lt;&gt;"",'Your debts'!$F$9&lt;&gt;"",'Your debts'!$F$12&lt;'Your debts'!$F$9),AL101,0)+IF(AND('Your debts'!$F$13&lt;&gt;"",'Your debts'!$F$9&lt;&gt;"",'Your debts'!$F$13&lt;'Your debts'!$F$9),AQ101,0)+IF(AND('Your debts'!$F$14&lt;&gt;"",'Your debts'!$F$9&lt;&gt;"",'Your debts'!$F$14&lt;'Your debts'!$F$9),AV101,0)+IF(AND('Your debts'!$F$15&lt;&gt;"",'Your debts'!$F$9&lt;&gt;"",'Your debts'!$F$15&lt;'Your debts'!$F$9),BA101,0)))))</f>
        <v/>
      </c>
      <c r="Y101" s="33">
        <f>W101-X101</f>
        <v/>
      </c>
      <c r="Z101" s="33">
        <f>IF(AD100&lt;=0,0,ROUND(AD100*(1+'Your debts'!$D$10/1200),2))</f>
        <v/>
      </c>
      <c r="AA101" s="33">
        <f>IF(Z101&lt;=0,0,MIN('Your debts'!$E$10,Z101))</f>
        <v/>
      </c>
      <c r="AB101" s="33">
        <f>Z101-AA101</f>
        <v/>
      </c>
      <c r="AC101" s="33">
        <f>IF('Your debts'!$F$10="",0,MIN(AB101,MAX(0,MAX(0,'Your debts'!$C$19-(G101+L101+Q101+V101+AA101+AF101+AK101+AP101+AU101+AZ101))-(IF(AND('Your debts'!$F$6&lt;&gt;"",'Your debts'!$F$10&lt;&gt;"",'Your debts'!$F$6&lt;'Your debts'!$F$10),H101,0)+IF(AND('Your debts'!$F$7&lt;&gt;"",'Your debts'!$F$10&lt;&gt;"",'Your debts'!$F$7&lt;'Your debts'!$F$10),M101,0)+IF(AND('Your debts'!$F$8&lt;&gt;"",'Your debts'!$F$10&lt;&gt;"",'Your debts'!$F$8&lt;'Your debts'!$F$10),R101,0)+IF(AND('Your debts'!$F$9&lt;&gt;"",'Your debts'!$F$10&lt;&gt;"",'Your debts'!$F$9&lt;'Your debts'!$F$10),W101,0)+IF(AND('Your debts'!$F$11&lt;&gt;"",'Your debts'!$F$10&lt;&gt;"",'Your debts'!$F$11&lt;'Your debts'!$F$10),AG101,0)+IF(AND('Your debts'!$F$12&lt;&gt;"",'Your debts'!$F$10&lt;&gt;"",'Your debts'!$F$12&lt;'Your debts'!$F$10),AL101,0)+IF(AND('Your debts'!$F$13&lt;&gt;"",'Your debts'!$F$10&lt;&gt;"",'Your debts'!$F$13&lt;'Your debts'!$F$10),AQ101,0)+IF(AND('Your debts'!$F$14&lt;&gt;"",'Your debts'!$F$10&lt;&gt;"",'Your debts'!$F$14&lt;'Your debts'!$F$10),AV101,0)+IF(AND('Your debts'!$F$15&lt;&gt;"",'Your debts'!$F$10&lt;&gt;"",'Your debts'!$F$15&lt;'Your debts'!$F$10),BA101,0)))))</f>
        <v/>
      </c>
      <c r="AD101" s="33">
        <f>AB101-AC101</f>
        <v/>
      </c>
      <c r="AE101" s="33">
        <f>IF(AI100&lt;=0,0,ROUND(AI100*(1+'Your debts'!$D$11/1200),2))</f>
        <v/>
      </c>
      <c r="AF101" s="33">
        <f>IF(AE101&lt;=0,0,MIN('Your debts'!$E$11,AE101))</f>
        <v/>
      </c>
      <c r="AG101" s="33">
        <f>AE101-AF101</f>
        <v/>
      </c>
      <c r="AH101" s="33">
        <f>IF('Your debts'!$F$11="",0,MIN(AG101,MAX(0,MAX(0,'Your debts'!$C$19-(G101+L101+Q101+V101+AA101+AF101+AK101+AP101+AU101+AZ101))-(IF(AND('Your debts'!$F$6&lt;&gt;"",'Your debts'!$F$11&lt;&gt;"",'Your debts'!$F$6&lt;'Your debts'!$F$11),H101,0)+IF(AND('Your debts'!$F$7&lt;&gt;"",'Your debts'!$F$11&lt;&gt;"",'Your debts'!$F$7&lt;'Your debts'!$F$11),M101,0)+IF(AND('Your debts'!$F$8&lt;&gt;"",'Your debts'!$F$11&lt;&gt;"",'Your debts'!$F$8&lt;'Your debts'!$F$11),R101,0)+IF(AND('Your debts'!$F$9&lt;&gt;"",'Your debts'!$F$11&lt;&gt;"",'Your debts'!$F$9&lt;'Your debts'!$F$11),W101,0)+IF(AND('Your debts'!$F$10&lt;&gt;"",'Your debts'!$F$11&lt;&gt;"",'Your debts'!$F$10&lt;'Your debts'!$F$11),AB101,0)+IF(AND('Your debts'!$F$12&lt;&gt;"",'Your debts'!$F$11&lt;&gt;"",'Your debts'!$F$12&lt;'Your debts'!$F$11),AL101,0)+IF(AND('Your debts'!$F$13&lt;&gt;"",'Your debts'!$F$11&lt;&gt;"",'Your debts'!$F$13&lt;'Your debts'!$F$11),AQ101,0)+IF(AND('Your debts'!$F$14&lt;&gt;"",'Your debts'!$F$11&lt;&gt;"",'Your debts'!$F$14&lt;'Your debts'!$F$11),AV101,0)+IF(AND('Your debts'!$F$15&lt;&gt;"",'Your debts'!$F$11&lt;&gt;"",'Your debts'!$F$15&lt;'Your debts'!$F$11),BA101,0)))))</f>
        <v/>
      </c>
      <c r="AI101" s="33">
        <f>AG101-AH101</f>
        <v/>
      </c>
      <c r="AJ101" s="33">
        <f>IF(AN100&lt;=0,0,ROUND(AN100*(1+'Your debts'!$D$12/1200),2))</f>
        <v/>
      </c>
      <c r="AK101" s="33">
        <f>IF(AJ101&lt;=0,0,MIN('Your debts'!$E$12,AJ101))</f>
        <v/>
      </c>
      <c r="AL101" s="33">
        <f>AJ101-AK101</f>
        <v/>
      </c>
      <c r="AM101" s="33">
        <f>IF('Your debts'!$F$12="",0,MIN(AL101,MAX(0,MAX(0,'Your debts'!$C$19-(G101+L101+Q101+V101+AA101+AF101+AK101+AP101+AU101+AZ101))-(IF(AND('Your debts'!$F$6&lt;&gt;"",'Your debts'!$F$12&lt;&gt;"",'Your debts'!$F$6&lt;'Your debts'!$F$12),H101,0)+IF(AND('Your debts'!$F$7&lt;&gt;"",'Your debts'!$F$12&lt;&gt;"",'Your debts'!$F$7&lt;'Your debts'!$F$12),M101,0)+IF(AND('Your debts'!$F$8&lt;&gt;"",'Your debts'!$F$12&lt;&gt;"",'Your debts'!$F$8&lt;'Your debts'!$F$12),R101,0)+IF(AND('Your debts'!$F$9&lt;&gt;"",'Your debts'!$F$12&lt;&gt;"",'Your debts'!$F$9&lt;'Your debts'!$F$12),W101,0)+IF(AND('Your debts'!$F$10&lt;&gt;"",'Your debts'!$F$12&lt;&gt;"",'Your debts'!$F$10&lt;'Your debts'!$F$12),AB101,0)+IF(AND('Your debts'!$F$11&lt;&gt;"",'Your debts'!$F$12&lt;&gt;"",'Your debts'!$F$11&lt;'Your debts'!$F$12),AG101,0)+IF(AND('Your debts'!$F$13&lt;&gt;"",'Your debts'!$F$12&lt;&gt;"",'Your debts'!$F$13&lt;'Your debts'!$F$12),AQ101,0)+IF(AND('Your debts'!$F$14&lt;&gt;"",'Your debts'!$F$12&lt;&gt;"",'Your debts'!$F$14&lt;'Your debts'!$F$12),AV101,0)+IF(AND('Your debts'!$F$15&lt;&gt;"",'Your debts'!$F$12&lt;&gt;"",'Your debts'!$F$15&lt;'Your debts'!$F$12),BA101,0)))))</f>
        <v/>
      </c>
      <c r="AN101" s="33">
        <f>AL101-AM101</f>
        <v/>
      </c>
      <c r="AO101" s="33">
        <f>IF(AS100&lt;=0,0,ROUND(AS100*(1+'Your debts'!$D$13/1200),2))</f>
        <v/>
      </c>
      <c r="AP101" s="33">
        <f>IF(AO101&lt;=0,0,MIN('Your debts'!$E$13,AO101))</f>
        <v/>
      </c>
      <c r="AQ101" s="33">
        <f>AO101-AP101</f>
        <v/>
      </c>
      <c r="AR101" s="33">
        <f>IF('Your debts'!$F$13="",0,MIN(AQ101,MAX(0,MAX(0,'Your debts'!$C$19-(G101+L101+Q101+V101+AA101+AF101+AK101+AP101+AU101+AZ101))-(IF(AND('Your debts'!$F$6&lt;&gt;"",'Your debts'!$F$13&lt;&gt;"",'Your debts'!$F$6&lt;'Your debts'!$F$13),H101,0)+IF(AND('Your debts'!$F$7&lt;&gt;"",'Your debts'!$F$13&lt;&gt;"",'Your debts'!$F$7&lt;'Your debts'!$F$13),M101,0)+IF(AND('Your debts'!$F$8&lt;&gt;"",'Your debts'!$F$13&lt;&gt;"",'Your debts'!$F$8&lt;'Your debts'!$F$13),R101,0)+IF(AND('Your debts'!$F$9&lt;&gt;"",'Your debts'!$F$13&lt;&gt;"",'Your debts'!$F$9&lt;'Your debts'!$F$13),W101,0)+IF(AND('Your debts'!$F$10&lt;&gt;"",'Your debts'!$F$13&lt;&gt;"",'Your debts'!$F$10&lt;'Your debts'!$F$13),AB101,0)+IF(AND('Your debts'!$F$11&lt;&gt;"",'Your debts'!$F$13&lt;&gt;"",'Your debts'!$F$11&lt;'Your debts'!$F$13),AG101,0)+IF(AND('Your debts'!$F$12&lt;&gt;"",'Your debts'!$F$13&lt;&gt;"",'Your debts'!$F$12&lt;'Your debts'!$F$13),AL101,0)+IF(AND('Your debts'!$F$14&lt;&gt;"",'Your debts'!$F$13&lt;&gt;"",'Your debts'!$F$14&lt;'Your debts'!$F$13),AV101,0)+IF(AND('Your debts'!$F$15&lt;&gt;"",'Your debts'!$F$13&lt;&gt;"",'Your debts'!$F$15&lt;'Your debts'!$F$13),BA101,0)))))</f>
        <v/>
      </c>
      <c r="AS101" s="33">
        <f>AQ101-AR101</f>
        <v/>
      </c>
      <c r="AT101" s="33">
        <f>IF(AX100&lt;=0,0,ROUND(AX100*(1+'Your debts'!$D$14/1200),2))</f>
        <v/>
      </c>
      <c r="AU101" s="33">
        <f>IF(AT101&lt;=0,0,MIN('Your debts'!$E$14,AT101))</f>
        <v/>
      </c>
      <c r="AV101" s="33">
        <f>AT101-AU101</f>
        <v/>
      </c>
      <c r="AW101" s="33">
        <f>IF('Your debts'!$F$14="",0,MIN(AV101,MAX(0,MAX(0,'Your debts'!$C$19-(G101+L101+Q101+V101+AA101+AF101+AK101+AP101+AU101+AZ101))-(IF(AND('Your debts'!$F$6&lt;&gt;"",'Your debts'!$F$14&lt;&gt;"",'Your debts'!$F$6&lt;'Your debts'!$F$14),H101,0)+IF(AND('Your debts'!$F$7&lt;&gt;"",'Your debts'!$F$14&lt;&gt;"",'Your debts'!$F$7&lt;'Your debts'!$F$14),M101,0)+IF(AND('Your debts'!$F$8&lt;&gt;"",'Your debts'!$F$14&lt;&gt;"",'Your debts'!$F$8&lt;'Your debts'!$F$14),R101,0)+IF(AND('Your debts'!$F$9&lt;&gt;"",'Your debts'!$F$14&lt;&gt;"",'Your debts'!$F$9&lt;'Your debts'!$F$14),W101,0)+IF(AND('Your debts'!$F$10&lt;&gt;"",'Your debts'!$F$14&lt;&gt;"",'Your debts'!$F$10&lt;'Your debts'!$F$14),AB101,0)+IF(AND('Your debts'!$F$11&lt;&gt;"",'Your debts'!$F$14&lt;&gt;"",'Your debts'!$F$11&lt;'Your debts'!$F$14),AG101,0)+IF(AND('Your debts'!$F$12&lt;&gt;"",'Your debts'!$F$14&lt;&gt;"",'Your debts'!$F$12&lt;'Your debts'!$F$14),AL101,0)+IF(AND('Your debts'!$F$13&lt;&gt;"",'Your debts'!$F$14&lt;&gt;"",'Your debts'!$F$13&lt;'Your debts'!$F$14),AQ101,0)+IF(AND('Your debts'!$F$15&lt;&gt;"",'Your debts'!$F$14&lt;&gt;"",'Your debts'!$F$15&lt;'Your debts'!$F$14),BA101,0)))))</f>
        <v/>
      </c>
      <c r="AX101" s="33">
        <f>AV101-AW101</f>
        <v/>
      </c>
      <c r="AY101" s="33">
        <f>IF(BC100&lt;=0,0,ROUND(BC100*(1+'Your debts'!$D$15/1200),2))</f>
        <v/>
      </c>
      <c r="AZ101" s="33">
        <f>IF(AY101&lt;=0,0,MIN('Your debts'!$E$15,AY101))</f>
        <v/>
      </c>
      <c r="BA101" s="33">
        <f>AY101-AZ101</f>
        <v/>
      </c>
      <c r="BB101" s="33">
        <f>IF('Your debts'!$F$15="",0,MIN(BA101,MAX(0,MAX(0,'Your debts'!$C$19-(G101+L101+Q101+V101+AA101+AF101+AK101+AP101+AU101+AZ101))-(IF(AND('Your debts'!$F$6&lt;&gt;"",'Your debts'!$F$15&lt;&gt;"",'Your debts'!$F$6&lt;'Your debts'!$F$15),H101,0)+IF(AND('Your debts'!$F$7&lt;&gt;"",'Your debts'!$F$15&lt;&gt;"",'Your debts'!$F$7&lt;'Your debts'!$F$15),M101,0)+IF(AND('Your debts'!$F$8&lt;&gt;"",'Your debts'!$F$15&lt;&gt;"",'Your debts'!$F$8&lt;'Your debts'!$F$15),R101,0)+IF(AND('Your debts'!$F$9&lt;&gt;"",'Your debts'!$F$15&lt;&gt;"",'Your debts'!$F$9&lt;'Your debts'!$F$15),W101,0)+IF(AND('Your debts'!$F$10&lt;&gt;"",'Your debts'!$F$15&lt;&gt;"",'Your debts'!$F$10&lt;'Your debts'!$F$15),AB101,0)+IF(AND('Your debts'!$F$11&lt;&gt;"",'Your debts'!$F$15&lt;&gt;"",'Your debts'!$F$11&lt;'Your debts'!$F$15),AG101,0)+IF(AND('Your debts'!$F$12&lt;&gt;"",'Your debts'!$F$15&lt;&gt;"",'Your debts'!$F$12&lt;'Your debts'!$F$15),AL101,0)+IF(AND('Your debts'!$F$13&lt;&gt;"",'Your debts'!$F$15&lt;&gt;"",'Your debts'!$F$13&lt;'Your debts'!$F$15),AQ101,0)+IF(AND('Your debts'!$F$14&lt;&gt;"",'Your debts'!$F$15&lt;&gt;"",'Your debts'!$F$14&lt;'Your debts'!$F$15),AV101,0)))))</f>
        <v/>
      </c>
      <c r="BC101" s="33">
        <f>BA101-BB101</f>
        <v/>
      </c>
    </row>
    <row r="102">
      <c r="A102" s="30" t="n">
        <v>87</v>
      </c>
      <c r="B102" s="31">
        <f>EDATE($B$15,87)</f>
        <v/>
      </c>
      <c r="C102" s="32">
        <f>IF(J101&lt;=0,0,F102-J101)+IF(O101&lt;=0,0,K102-O101)+IF(T101&lt;=0,0,P102-T101)+IF(Y101&lt;=0,0,U102-Y101)+IF(AD101&lt;=0,0,Z102-AD101)+IF(AI101&lt;=0,0,AE102-AI101)+IF(AN101&lt;=0,0,AJ102-AN101)+IF(AS101&lt;=0,0,AO102-AS101)+IF(AX101&lt;=0,0,AT102-AX101)+IF(BC101&lt;=0,0,AY102-BC101)</f>
        <v/>
      </c>
      <c r="D102" s="32">
        <f>G102+I102+L102+N102+Q102+S102+V102+X102+AA102+AC102+AF102+AH102+AK102+AM102+AP102+AR102+AU102+AW102+AZ102+BB102</f>
        <v/>
      </c>
      <c r="E102" s="32">
        <f>J102+O102+T102+Y102+AD102+AI102+AN102+AS102+AX102+BC102</f>
        <v/>
      </c>
      <c r="F102" s="33">
        <f>IF(J101&lt;=0,0,ROUND(J101*(1+'Your debts'!$D$6/1200),2))</f>
        <v/>
      </c>
      <c r="G102" s="33">
        <f>IF(F102&lt;=0,0,MIN('Your debts'!$E$6,F102))</f>
        <v/>
      </c>
      <c r="H102" s="33">
        <f>F102-G102</f>
        <v/>
      </c>
      <c r="I102" s="33">
        <f>IF('Your debts'!$F$6="",0,MIN(H102,MAX(0,MAX(0,'Your debts'!$C$19-(G102+L102+Q102+V102+AA102+AF102+AK102+AP102+AU102+AZ102))-(IF(AND('Your debts'!$F$7&lt;&gt;"",'Your debts'!$F$6&lt;&gt;"",'Your debts'!$F$7&lt;'Your debts'!$F$6),M102,0)+IF(AND('Your debts'!$F$8&lt;&gt;"",'Your debts'!$F$6&lt;&gt;"",'Your debts'!$F$8&lt;'Your debts'!$F$6),R102,0)+IF(AND('Your debts'!$F$9&lt;&gt;"",'Your debts'!$F$6&lt;&gt;"",'Your debts'!$F$9&lt;'Your debts'!$F$6),W102,0)+IF(AND('Your debts'!$F$10&lt;&gt;"",'Your debts'!$F$6&lt;&gt;"",'Your debts'!$F$10&lt;'Your debts'!$F$6),AB102,0)+IF(AND('Your debts'!$F$11&lt;&gt;"",'Your debts'!$F$6&lt;&gt;"",'Your debts'!$F$11&lt;'Your debts'!$F$6),AG102,0)+IF(AND('Your debts'!$F$12&lt;&gt;"",'Your debts'!$F$6&lt;&gt;"",'Your debts'!$F$12&lt;'Your debts'!$F$6),AL102,0)+IF(AND('Your debts'!$F$13&lt;&gt;"",'Your debts'!$F$6&lt;&gt;"",'Your debts'!$F$13&lt;'Your debts'!$F$6),AQ102,0)+IF(AND('Your debts'!$F$14&lt;&gt;"",'Your debts'!$F$6&lt;&gt;"",'Your debts'!$F$14&lt;'Your debts'!$F$6),AV102,0)+IF(AND('Your debts'!$F$15&lt;&gt;"",'Your debts'!$F$6&lt;&gt;"",'Your debts'!$F$15&lt;'Your debts'!$F$6),BA102,0)))))</f>
        <v/>
      </c>
      <c r="J102" s="33">
        <f>H102-I102</f>
        <v/>
      </c>
      <c r="K102" s="33">
        <f>IF(O101&lt;=0,0,ROUND(O101*(1+'Your debts'!$D$7/1200),2))</f>
        <v/>
      </c>
      <c r="L102" s="33">
        <f>IF(K102&lt;=0,0,MIN('Your debts'!$E$7,K102))</f>
        <v/>
      </c>
      <c r="M102" s="33">
        <f>K102-L102</f>
        <v/>
      </c>
      <c r="N102" s="33">
        <f>IF('Your debts'!$F$7="",0,MIN(M102,MAX(0,MAX(0,'Your debts'!$C$19-(G102+L102+Q102+V102+AA102+AF102+AK102+AP102+AU102+AZ102))-(IF(AND('Your debts'!$F$6&lt;&gt;"",'Your debts'!$F$7&lt;&gt;"",'Your debts'!$F$6&lt;'Your debts'!$F$7),H102,0)+IF(AND('Your debts'!$F$8&lt;&gt;"",'Your debts'!$F$7&lt;&gt;"",'Your debts'!$F$8&lt;'Your debts'!$F$7),R102,0)+IF(AND('Your debts'!$F$9&lt;&gt;"",'Your debts'!$F$7&lt;&gt;"",'Your debts'!$F$9&lt;'Your debts'!$F$7),W102,0)+IF(AND('Your debts'!$F$10&lt;&gt;"",'Your debts'!$F$7&lt;&gt;"",'Your debts'!$F$10&lt;'Your debts'!$F$7),AB102,0)+IF(AND('Your debts'!$F$11&lt;&gt;"",'Your debts'!$F$7&lt;&gt;"",'Your debts'!$F$11&lt;'Your debts'!$F$7),AG102,0)+IF(AND('Your debts'!$F$12&lt;&gt;"",'Your debts'!$F$7&lt;&gt;"",'Your debts'!$F$12&lt;'Your debts'!$F$7),AL102,0)+IF(AND('Your debts'!$F$13&lt;&gt;"",'Your debts'!$F$7&lt;&gt;"",'Your debts'!$F$13&lt;'Your debts'!$F$7),AQ102,0)+IF(AND('Your debts'!$F$14&lt;&gt;"",'Your debts'!$F$7&lt;&gt;"",'Your debts'!$F$14&lt;'Your debts'!$F$7),AV102,0)+IF(AND('Your debts'!$F$15&lt;&gt;"",'Your debts'!$F$7&lt;&gt;"",'Your debts'!$F$15&lt;'Your debts'!$F$7),BA102,0)))))</f>
        <v/>
      </c>
      <c r="O102" s="33">
        <f>M102-N102</f>
        <v/>
      </c>
      <c r="P102" s="33">
        <f>IF(T101&lt;=0,0,ROUND(T101*(1+'Your debts'!$D$8/1200),2))</f>
        <v/>
      </c>
      <c r="Q102" s="33">
        <f>IF(P102&lt;=0,0,MIN('Your debts'!$E$8,P102))</f>
        <v/>
      </c>
      <c r="R102" s="33">
        <f>P102-Q102</f>
        <v/>
      </c>
      <c r="S102" s="33">
        <f>IF('Your debts'!$F$8="",0,MIN(R102,MAX(0,MAX(0,'Your debts'!$C$19-(G102+L102+Q102+V102+AA102+AF102+AK102+AP102+AU102+AZ102))-(IF(AND('Your debts'!$F$6&lt;&gt;"",'Your debts'!$F$8&lt;&gt;"",'Your debts'!$F$6&lt;'Your debts'!$F$8),H102,0)+IF(AND('Your debts'!$F$7&lt;&gt;"",'Your debts'!$F$8&lt;&gt;"",'Your debts'!$F$7&lt;'Your debts'!$F$8),M102,0)+IF(AND('Your debts'!$F$9&lt;&gt;"",'Your debts'!$F$8&lt;&gt;"",'Your debts'!$F$9&lt;'Your debts'!$F$8),W102,0)+IF(AND('Your debts'!$F$10&lt;&gt;"",'Your debts'!$F$8&lt;&gt;"",'Your debts'!$F$10&lt;'Your debts'!$F$8),AB102,0)+IF(AND('Your debts'!$F$11&lt;&gt;"",'Your debts'!$F$8&lt;&gt;"",'Your debts'!$F$11&lt;'Your debts'!$F$8),AG102,0)+IF(AND('Your debts'!$F$12&lt;&gt;"",'Your debts'!$F$8&lt;&gt;"",'Your debts'!$F$12&lt;'Your debts'!$F$8),AL102,0)+IF(AND('Your debts'!$F$13&lt;&gt;"",'Your debts'!$F$8&lt;&gt;"",'Your debts'!$F$13&lt;'Your debts'!$F$8),AQ102,0)+IF(AND('Your debts'!$F$14&lt;&gt;"",'Your debts'!$F$8&lt;&gt;"",'Your debts'!$F$14&lt;'Your debts'!$F$8),AV102,0)+IF(AND('Your debts'!$F$15&lt;&gt;"",'Your debts'!$F$8&lt;&gt;"",'Your debts'!$F$15&lt;'Your debts'!$F$8),BA102,0)))))</f>
        <v/>
      </c>
      <c r="T102" s="33">
        <f>R102-S102</f>
        <v/>
      </c>
      <c r="U102" s="33">
        <f>IF(Y101&lt;=0,0,ROUND(Y101*(1+'Your debts'!$D$9/1200),2))</f>
        <v/>
      </c>
      <c r="V102" s="33">
        <f>IF(U102&lt;=0,0,MIN('Your debts'!$E$9,U102))</f>
        <v/>
      </c>
      <c r="W102" s="33">
        <f>U102-V102</f>
        <v/>
      </c>
      <c r="X102" s="33">
        <f>IF('Your debts'!$F$9="",0,MIN(W102,MAX(0,MAX(0,'Your debts'!$C$19-(G102+L102+Q102+V102+AA102+AF102+AK102+AP102+AU102+AZ102))-(IF(AND('Your debts'!$F$6&lt;&gt;"",'Your debts'!$F$9&lt;&gt;"",'Your debts'!$F$6&lt;'Your debts'!$F$9),H102,0)+IF(AND('Your debts'!$F$7&lt;&gt;"",'Your debts'!$F$9&lt;&gt;"",'Your debts'!$F$7&lt;'Your debts'!$F$9),M102,0)+IF(AND('Your debts'!$F$8&lt;&gt;"",'Your debts'!$F$9&lt;&gt;"",'Your debts'!$F$8&lt;'Your debts'!$F$9),R102,0)+IF(AND('Your debts'!$F$10&lt;&gt;"",'Your debts'!$F$9&lt;&gt;"",'Your debts'!$F$10&lt;'Your debts'!$F$9),AB102,0)+IF(AND('Your debts'!$F$11&lt;&gt;"",'Your debts'!$F$9&lt;&gt;"",'Your debts'!$F$11&lt;'Your debts'!$F$9),AG102,0)+IF(AND('Your debts'!$F$12&lt;&gt;"",'Your debts'!$F$9&lt;&gt;"",'Your debts'!$F$12&lt;'Your debts'!$F$9),AL102,0)+IF(AND('Your debts'!$F$13&lt;&gt;"",'Your debts'!$F$9&lt;&gt;"",'Your debts'!$F$13&lt;'Your debts'!$F$9),AQ102,0)+IF(AND('Your debts'!$F$14&lt;&gt;"",'Your debts'!$F$9&lt;&gt;"",'Your debts'!$F$14&lt;'Your debts'!$F$9),AV102,0)+IF(AND('Your debts'!$F$15&lt;&gt;"",'Your debts'!$F$9&lt;&gt;"",'Your debts'!$F$15&lt;'Your debts'!$F$9),BA102,0)))))</f>
        <v/>
      </c>
      <c r="Y102" s="33">
        <f>W102-X102</f>
        <v/>
      </c>
      <c r="Z102" s="33">
        <f>IF(AD101&lt;=0,0,ROUND(AD101*(1+'Your debts'!$D$10/1200),2))</f>
        <v/>
      </c>
      <c r="AA102" s="33">
        <f>IF(Z102&lt;=0,0,MIN('Your debts'!$E$10,Z102))</f>
        <v/>
      </c>
      <c r="AB102" s="33">
        <f>Z102-AA102</f>
        <v/>
      </c>
      <c r="AC102" s="33">
        <f>IF('Your debts'!$F$10="",0,MIN(AB102,MAX(0,MAX(0,'Your debts'!$C$19-(G102+L102+Q102+V102+AA102+AF102+AK102+AP102+AU102+AZ102))-(IF(AND('Your debts'!$F$6&lt;&gt;"",'Your debts'!$F$10&lt;&gt;"",'Your debts'!$F$6&lt;'Your debts'!$F$10),H102,0)+IF(AND('Your debts'!$F$7&lt;&gt;"",'Your debts'!$F$10&lt;&gt;"",'Your debts'!$F$7&lt;'Your debts'!$F$10),M102,0)+IF(AND('Your debts'!$F$8&lt;&gt;"",'Your debts'!$F$10&lt;&gt;"",'Your debts'!$F$8&lt;'Your debts'!$F$10),R102,0)+IF(AND('Your debts'!$F$9&lt;&gt;"",'Your debts'!$F$10&lt;&gt;"",'Your debts'!$F$9&lt;'Your debts'!$F$10),W102,0)+IF(AND('Your debts'!$F$11&lt;&gt;"",'Your debts'!$F$10&lt;&gt;"",'Your debts'!$F$11&lt;'Your debts'!$F$10),AG102,0)+IF(AND('Your debts'!$F$12&lt;&gt;"",'Your debts'!$F$10&lt;&gt;"",'Your debts'!$F$12&lt;'Your debts'!$F$10),AL102,0)+IF(AND('Your debts'!$F$13&lt;&gt;"",'Your debts'!$F$10&lt;&gt;"",'Your debts'!$F$13&lt;'Your debts'!$F$10),AQ102,0)+IF(AND('Your debts'!$F$14&lt;&gt;"",'Your debts'!$F$10&lt;&gt;"",'Your debts'!$F$14&lt;'Your debts'!$F$10),AV102,0)+IF(AND('Your debts'!$F$15&lt;&gt;"",'Your debts'!$F$10&lt;&gt;"",'Your debts'!$F$15&lt;'Your debts'!$F$10),BA102,0)))))</f>
        <v/>
      </c>
      <c r="AD102" s="33">
        <f>AB102-AC102</f>
        <v/>
      </c>
      <c r="AE102" s="33">
        <f>IF(AI101&lt;=0,0,ROUND(AI101*(1+'Your debts'!$D$11/1200),2))</f>
        <v/>
      </c>
      <c r="AF102" s="33">
        <f>IF(AE102&lt;=0,0,MIN('Your debts'!$E$11,AE102))</f>
        <v/>
      </c>
      <c r="AG102" s="33">
        <f>AE102-AF102</f>
        <v/>
      </c>
      <c r="AH102" s="33">
        <f>IF('Your debts'!$F$11="",0,MIN(AG102,MAX(0,MAX(0,'Your debts'!$C$19-(G102+L102+Q102+V102+AA102+AF102+AK102+AP102+AU102+AZ102))-(IF(AND('Your debts'!$F$6&lt;&gt;"",'Your debts'!$F$11&lt;&gt;"",'Your debts'!$F$6&lt;'Your debts'!$F$11),H102,0)+IF(AND('Your debts'!$F$7&lt;&gt;"",'Your debts'!$F$11&lt;&gt;"",'Your debts'!$F$7&lt;'Your debts'!$F$11),M102,0)+IF(AND('Your debts'!$F$8&lt;&gt;"",'Your debts'!$F$11&lt;&gt;"",'Your debts'!$F$8&lt;'Your debts'!$F$11),R102,0)+IF(AND('Your debts'!$F$9&lt;&gt;"",'Your debts'!$F$11&lt;&gt;"",'Your debts'!$F$9&lt;'Your debts'!$F$11),W102,0)+IF(AND('Your debts'!$F$10&lt;&gt;"",'Your debts'!$F$11&lt;&gt;"",'Your debts'!$F$10&lt;'Your debts'!$F$11),AB102,0)+IF(AND('Your debts'!$F$12&lt;&gt;"",'Your debts'!$F$11&lt;&gt;"",'Your debts'!$F$12&lt;'Your debts'!$F$11),AL102,0)+IF(AND('Your debts'!$F$13&lt;&gt;"",'Your debts'!$F$11&lt;&gt;"",'Your debts'!$F$13&lt;'Your debts'!$F$11),AQ102,0)+IF(AND('Your debts'!$F$14&lt;&gt;"",'Your debts'!$F$11&lt;&gt;"",'Your debts'!$F$14&lt;'Your debts'!$F$11),AV102,0)+IF(AND('Your debts'!$F$15&lt;&gt;"",'Your debts'!$F$11&lt;&gt;"",'Your debts'!$F$15&lt;'Your debts'!$F$11),BA102,0)))))</f>
        <v/>
      </c>
      <c r="AI102" s="33">
        <f>AG102-AH102</f>
        <v/>
      </c>
      <c r="AJ102" s="33">
        <f>IF(AN101&lt;=0,0,ROUND(AN101*(1+'Your debts'!$D$12/1200),2))</f>
        <v/>
      </c>
      <c r="AK102" s="33">
        <f>IF(AJ102&lt;=0,0,MIN('Your debts'!$E$12,AJ102))</f>
        <v/>
      </c>
      <c r="AL102" s="33">
        <f>AJ102-AK102</f>
        <v/>
      </c>
      <c r="AM102" s="33">
        <f>IF('Your debts'!$F$12="",0,MIN(AL102,MAX(0,MAX(0,'Your debts'!$C$19-(G102+L102+Q102+V102+AA102+AF102+AK102+AP102+AU102+AZ102))-(IF(AND('Your debts'!$F$6&lt;&gt;"",'Your debts'!$F$12&lt;&gt;"",'Your debts'!$F$6&lt;'Your debts'!$F$12),H102,0)+IF(AND('Your debts'!$F$7&lt;&gt;"",'Your debts'!$F$12&lt;&gt;"",'Your debts'!$F$7&lt;'Your debts'!$F$12),M102,0)+IF(AND('Your debts'!$F$8&lt;&gt;"",'Your debts'!$F$12&lt;&gt;"",'Your debts'!$F$8&lt;'Your debts'!$F$12),R102,0)+IF(AND('Your debts'!$F$9&lt;&gt;"",'Your debts'!$F$12&lt;&gt;"",'Your debts'!$F$9&lt;'Your debts'!$F$12),W102,0)+IF(AND('Your debts'!$F$10&lt;&gt;"",'Your debts'!$F$12&lt;&gt;"",'Your debts'!$F$10&lt;'Your debts'!$F$12),AB102,0)+IF(AND('Your debts'!$F$11&lt;&gt;"",'Your debts'!$F$12&lt;&gt;"",'Your debts'!$F$11&lt;'Your debts'!$F$12),AG102,0)+IF(AND('Your debts'!$F$13&lt;&gt;"",'Your debts'!$F$12&lt;&gt;"",'Your debts'!$F$13&lt;'Your debts'!$F$12),AQ102,0)+IF(AND('Your debts'!$F$14&lt;&gt;"",'Your debts'!$F$12&lt;&gt;"",'Your debts'!$F$14&lt;'Your debts'!$F$12),AV102,0)+IF(AND('Your debts'!$F$15&lt;&gt;"",'Your debts'!$F$12&lt;&gt;"",'Your debts'!$F$15&lt;'Your debts'!$F$12),BA102,0)))))</f>
        <v/>
      </c>
      <c r="AN102" s="33">
        <f>AL102-AM102</f>
        <v/>
      </c>
      <c r="AO102" s="33">
        <f>IF(AS101&lt;=0,0,ROUND(AS101*(1+'Your debts'!$D$13/1200),2))</f>
        <v/>
      </c>
      <c r="AP102" s="33">
        <f>IF(AO102&lt;=0,0,MIN('Your debts'!$E$13,AO102))</f>
        <v/>
      </c>
      <c r="AQ102" s="33">
        <f>AO102-AP102</f>
        <v/>
      </c>
      <c r="AR102" s="33">
        <f>IF('Your debts'!$F$13="",0,MIN(AQ102,MAX(0,MAX(0,'Your debts'!$C$19-(G102+L102+Q102+V102+AA102+AF102+AK102+AP102+AU102+AZ102))-(IF(AND('Your debts'!$F$6&lt;&gt;"",'Your debts'!$F$13&lt;&gt;"",'Your debts'!$F$6&lt;'Your debts'!$F$13),H102,0)+IF(AND('Your debts'!$F$7&lt;&gt;"",'Your debts'!$F$13&lt;&gt;"",'Your debts'!$F$7&lt;'Your debts'!$F$13),M102,0)+IF(AND('Your debts'!$F$8&lt;&gt;"",'Your debts'!$F$13&lt;&gt;"",'Your debts'!$F$8&lt;'Your debts'!$F$13),R102,0)+IF(AND('Your debts'!$F$9&lt;&gt;"",'Your debts'!$F$13&lt;&gt;"",'Your debts'!$F$9&lt;'Your debts'!$F$13),W102,0)+IF(AND('Your debts'!$F$10&lt;&gt;"",'Your debts'!$F$13&lt;&gt;"",'Your debts'!$F$10&lt;'Your debts'!$F$13),AB102,0)+IF(AND('Your debts'!$F$11&lt;&gt;"",'Your debts'!$F$13&lt;&gt;"",'Your debts'!$F$11&lt;'Your debts'!$F$13),AG102,0)+IF(AND('Your debts'!$F$12&lt;&gt;"",'Your debts'!$F$13&lt;&gt;"",'Your debts'!$F$12&lt;'Your debts'!$F$13),AL102,0)+IF(AND('Your debts'!$F$14&lt;&gt;"",'Your debts'!$F$13&lt;&gt;"",'Your debts'!$F$14&lt;'Your debts'!$F$13),AV102,0)+IF(AND('Your debts'!$F$15&lt;&gt;"",'Your debts'!$F$13&lt;&gt;"",'Your debts'!$F$15&lt;'Your debts'!$F$13),BA102,0)))))</f>
        <v/>
      </c>
      <c r="AS102" s="33">
        <f>AQ102-AR102</f>
        <v/>
      </c>
      <c r="AT102" s="33">
        <f>IF(AX101&lt;=0,0,ROUND(AX101*(1+'Your debts'!$D$14/1200),2))</f>
        <v/>
      </c>
      <c r="AU102" s="33">
        <f>IF(AT102&lt;=0,0,MIN('Your debts'!$E$14,AT102))</f>
        <v/>
      </c>
      <c r="AV102" s="33">
        <f>AT102-AU102</f>
        <v/>
      </c>
      <c r="AW102" s="33">
        <f>IF('Your debts'!$F$14="",0,MIN(AV102,MAX(0,MAX(0,'Your debts'!$C$19-(G102+L102+Q102+V102+AA102+AF102+AK102+AP102+AU102+AZ102))-(IF(AND('Your debts'!$F$6&lt;&gt;"",'Your debts'!$F$14&lt;&gt;"",'Your debts'!$F$6&lt;'Your debts'!$F$14),H102,0)+IF(AND('Your debts'!$F$7&lt;&gt;"",'Your debts'!$F$14&lt;&gt;"",'Your debts'!$F$7&lt;'Your debts'!$F$14),M102,0)+IF(AND('Your debts'!$F$8&lt;&gt;"",'Your debts'!$F$14&lt;&gt;"",'Your debts'!$F$8&lt;'Your debts'!$F$14),R102,0)+IF(AND('Your debts'!$F$9&lt;&gt;"",'Your debts'!$F$14&lt;&gt;"",'Your debts'!$F$9&lt;'Your debts'!$F$14),W102,0)+IF(AND('Your debts'!$F$10&lt;&gt;"",'Your debts'!$F$14&lt;&gt;"",'Your debts'!$F$10&lt;'Your debts'!$F$14),AB102,0)+IF(AND('Your debts'!$F$11&lt;&gt;"",'Your debts'!$F$14&lt;&gt;"",'Your debts'!$F$11&lt;'Your debts'!$F$14),AG102,0)+IF(AND('Your debts'!$F$12&lt;&gt;"",'Your debts'!$F$14&lt;&gt;"",'Your debts'!$F$12&lt;'Your debts'!$F$14),AL102,0)+IF(AND('Your debts'!$F$13&lt;&gt;"",'Your debts'!$F$14&lt;&gt;"",'Your debts'!$F$13&lt;'Your debts'!$F$14),AQ102,0)+IF(AND('Your debts'!$F$15&lt;&gt;"",'Your debts'!$F$14&lt;&gt;"",'Your debts'!$F$15&lt;'Your debts'!$F$14),BA102,0)))))</f>
        <v/>
      </c>
      <c r="AX102" s="33">
        <f>AV102-AW102</f>
        <v/>
      </c>
      <c r="AY102" s="33">
        <f>IF(BC101&lt;=0,0,ROUND(BC101*(1+'Your debts'!$D$15/1200),2))</f>
        <v/>
      </c>
      <c r="AZ102" s="33">
        <f>IF(AY102&lt;=0,0,MIN('Your debts'!$E$15,AY102))</f>
        <v/>
      </c>
      <c r="BA102" s="33">
        <f>AY102-AZ102</f>
        <v/>
      </c>
      <c r="BB102" s="33">
        <f>IF('Your debts'!$F$15="",0,MIN(BA102,MAX(0,MAX(0,'Your debts'!$C$19-(G102+L102+Q102+V102+AA102+AF102+AK102+AP102+AU102+AZ102))-(IF(AND('Your debts'!$F$6&lt;&gt;"",'Your debts'!$F$15&lt;&gt;"",'Your debts'!$F$6&lt;'Your debts'!$F$15),H102,0)+IF(AND('Your debts'!$F$7&lt;&gt;"",'Your debts'!$F$15&lt;&gt;"",'Your debts'!$F$7&lt;'Your debts'!$F$15),M102,0)+IF(AND('Your debts'!$F$8&lt;&gt;"",'Your debts'!$F$15&lt;&gt;"",'Your debts'!$F$8&lt;'Your debts'!$F$15),R102,0)+IF(AND('Your debts'!$F$9&lt;&gt;"",'Your debts'!$F$15&lt;&gt;"",'Your debts'!$F$9&lt;'Your debts'!$F$15),W102,0)+IF(AND('Your debts'!$F$10&lt;&gt;"",'Your debts'!$F$15&lt;&gt;"",'Your debts'!$F$10&lt;'Your debts'!$F$15),AB102,0)+IF(AND('Your debts'!$F$11&lt;&gt;"",'Your debts'!$F$15&lt;&gt;"",'Your debts'!$F$11&lt;'Your debts'!$F$15),AG102,0)+IF(AND('Your debts'!$F$12&lt;&gt;"",'Your debts'!$F$15&lt;&gt;"",'Your debts'!$F$12&lt;'Your debts'!$F$15),AL102,0)+IF(AND('Your debts'!$F$13&lt;&gt;"",'Your debts'!$F$15&lt;&gt;"",'Your debts'!$F$13&lt;'Your debts'!$F$15),AQ102,0)+IF(AND('Your debts'!$F$14&lt;&gt;"",'Your debts'!$F$15&lt;&gt;"",'Your debts'!$F$14&lt;'Your debts'!$F$15),AV102,0)))))</f>
        <v/>
      </c>
      <c r="BC102" s="33">
        <f>BA102-BB102</f>
        <v/>
      </c>
    </row>
    <row r="103">
      <c r="A103" s="30" t="n">
        <v>88</v>
      </c>
      <c r="B103" s="31">
        <f>EDATE($B$15,88)</f>
        <v/>
      </c>
      <c r="C103" s="32">
        <f>IF(J102&lt;=0,0,F103-J102)+IF(O102&lt;=0,0,K103-O102)+IF(T102&lt;=0,0,P103-T102)+IF(Y102&lt;=0,0,U103-Y102)+IF(AD102&lt;=0,0,Z103-AD102)+IF(AI102&lt;=0,0,AE103-AI102)+IF(AN102&lt;=0,0,AJ103-AN102)+IF(AS102&lt;=0,0,AO103-AS102)+IF(AX102&lt;=0,0,AT103-AX102)+IF(BC102&lt;=0,0,AY103-BC102)</f>
        <v/>
      </c>
      <c r="D103" s="32">
        <f>G103+I103+L103+N103+Q103+S103+V103+X103+AA103+AC103+AF103+AH103+AK103+AM103+AP103+AR103+AU103+AW103+AZ103+BB103</f>
        <v/>
      </c>
      <c r="E103" s="32">
        <f>J103+O103+T103+Y103+AD103+AI103+AN103+AS103+AX103+BC103</f>
        <v/>
      </c>
      <c r="F103" s="33">
        <f>IF(J102&lt;=0,0,ROUND(J102*(1+'Your debts'!$D$6/1200),2))</f>
        <v/>
      </c>
      <c r="G103" s="33">
        <f>IF(F103&lt;=0,0,MIN('Your debts'!$E$6,F103))</f>
        <v/>
      </c>
      <c r="H103" s="33">
        <f>F103-G103</f>
        <v/>
      </c>
      <c r="I103" s="33">
        <f>IF('Your debts'!$F$6="",0,MIN(H103,MAX(0,MAX(0,'Your debts'!$C$19-(G103+L103+Q103+V103+AA103+AF103+AK103+AP103+AU103+AZ103))-(IF(AND('Your debts'!$F$7&lt;&gt;"",'Your debts'!$F$6&lt;&gt;"",'Your debts'!$F$7&lt;'Your debts'!$F$6),M103,0)+IF(AND('Your debts'!$F$8&lt;&gt;"",'Your debts'!$F$6&lt;&gt;"",'Your debts'!$F$8&lt;'Your debts'!$F$6),R103,0)+IF(AND('Your debts'!$F$9&lt;&gt;"",'Your debts'!$F$6&lt;&gt;"",'Your debts'!$F$9&lt;'Your debts'!$F$6),W103,0)+IF(AND('Your debts'!$F$10&lt;&gt;"",'Your debts'!$F$6&lt;&gt;"",'Your debts'!$F$10&lt;'Your debts'!$F$6),AB103,0)+IF(AND('Your debts'!$F$11&lt;&gt;"",'Your debts'!$F$6&lt;&gt;"",'Your debts'!$F$11&lt;'Your debts'!$F$6),AG103,0)+IF(AND('Your debts'!$F$12&lt;&gt;"",'Your debts'!$F$6&lt;&gt;"",'Your debts'!$F$12&lt;'Your debts'!$F$6),AL103,0)+IF(AND('Your debts'!$F$13&lt;&gt;"",'Your debts'!$F$6&lt;&gt;"",'Your debts'!$F$13&lt;'Your debts'!$F$6),AQ103,0)+IF(AND('Your debts'!$F$14&lt;&gt;"",'Your debts'!$F$6&lt;&gt;"",'Your debts'!$F$14&lt;'Your debts'!$F$6),AV103,0)+IF(AND('Your debts'!$F$15&lt;&gt;"",'Your debts'!$F$6&lt;&gt;"",'Your debts'!$F$15&lt;'Your debts'!$F$6),BA103,0)))))</f>
        <v/>
      </c>
      <c r="J103" s="33">
        <f>H103-I103</f>
        <v/>
      </c>
      <c r="K103" s="33">
        <f>IF(O102&lt;=0,0,ROUND(O102*(1+'Your debts'!$D$7/1200),2))</f>
        <v/>
      </c>
      <c r="L103" s="33">
        <f>IF(K103&lt;=0,0,MIN('Your debts'!$E$7,K103))</f>
        <v/>
      </c>
      <c r="M103" s="33">
        <f>K103-L103</f>
        <v/>
      </c>
      <c r="N103" s="33">
        <f>IF('Your debts'!$F$7="",0,MIN(M103,MAX(0,MAX(0,'Your debts'!$C$19-(G103+L103+Q103+V103+AA103+AF103+AK103+AP103+AU103+AZ103))-(IF(AND('Your debts'!$F$6&lt;&gt;"",'Your debts'!$F$7&lt;&gt;"",'Your debts'!$F$6&lt;'Your debts'!$F$7),H103,0)+IF(AND('Your debts'!$F$8&lt;&gt;"",'Your debts'!$F$7&lt;&gt;"",'Your debts'!$F$8&lt;'Your debts'!$F$7),R103,0)+IF(AND('Your debts'!$F$9&lt;&gt;"",'Your debts'!$F$7&lt;&gt;"",'Your debts'!$F$9&lt;'Your debts'!$F$7),W103,0)+IF(AND('Your debts'!$F$10&lt;&gt;"",'Your debts'!$F$7&lt;&gt;"",'Your debts'!$F$10&lt;'Your debts'!$F$7),AB103,0)+IF(AND('Your debts'!$F$11&lt;&gt;"",'Your debts'!$F$7&lt;&gt;"",'Your debts'!$F$11&lt;'Your debts'!$F$7),AG103,0)+IF(AND('Your debts'!$F$12&lt;&gt;"",'Your debts'!$F$7&lt;&gt;"",'Your debts'!$F$12&lt;'Your debts'!$F$7),AL103,0)+IF(AND('Your debts'!$F$13&lt;&gt;"",'Your debts'!$F$7&lt;&gt;"",'Your debts'!$F$13&lt;'Your debts'!$F$7),AQ103,0)+IF(AND('Your debts'!$F$14&lt;&gt;"",'Your debts'!$F$7&lt;&gt;"",'Your debts'!$F$14&lt;'Your debts'!$F$7),AV103,0)+IF(AND('Your debts'!$F$15&lt;&gt;"",'Your debts'!$F$7&lt;&gt;"",'Your debts'!$F$15&lt;'Your debts'!$F$7),BA103,0)))))</f>
        <v/>
      </c>
      <c r="O103" s="33">
        <f>M103-N103</f>
        <v/>
      </c>
      <c r="P103" s="33">
        <f>IF(T102&lt;=0,0,ROUND(T102*(1+'Your debts'!$D$8/1200),2))</f>
        <v/>
      </c>
      <c r="Q103" s="33">
        <f>IF(P103&lt;=0,0,MIN('Your debts'!$E$8,P103))</f>
        <v/>
      </c>
      <c r="R103" s="33">
        <f>P103-Q103</f>
        <v/>
      </c>
      <c r="S103" s="33">
        <f>IF('Your debts'!$F$8="",0,MIN(R103,MAX(0,MAX(0,'Your debts'!$C$19-(G103+L103+Q103+V103+AA103+AF103+AK103+AP103+AU103+AZ103))-(IF(AND('Your debts'!$F$6&lt;&gt;"",'Your debts'!$F$8&lt;&gt;"",'Your debts'!$F$6&lt;'Your debts'!$F$8),H103,0)+IF(AND('Your debts'!$F$7&lt;&gt;"",'Your debts'!$F$8&lt;&gt;"",'Your debts'!$F$7&lt;'Your debts'!$F$8),M103,0)+IF(AND('Your debts'!$F$9&lt;&gt;"",'Your debts'!$F$8&lt;&gt;"",'Your debts'!$F$9&lt;'Your debts'!$F$8),W103,0)+IF(AND('Your debts'!$F$10&lt;&gt;"",'Your debts'!$F$8&lt;&gt;"",'Your debts'!$F$10&lt;'Your debts'!$F$8),AB103,0)+IF(AND('Your debts'!$F$11&lt;&gt;"",'Your debts'!$F$8&lt;&gt;"",'Your debts'!$F$11&lt;'Your debts'!$F$8),AG103,0)+IF(AND('Your debts'!$F$12&lt;&gt;"",'Your debts'!$F$8&lt;&gt;"",'Your debts'!$F$12&lt;'Your debts'!$F$8),AL103,0)+IF(AND('Your debts'!$F$13&lt;&gt;"",'Your debts'!$F$8&lt;&gt;"",'Your debts'!$F$13&lt;'Your debts'!$F$8),AQ103,0)+IF(AND('Your debts'!$F$14&lt;&gt;"",'Your debts'!$F$8&lt;&gt;"",'Your debts'!$F$14&lt;'Your debts'!$F$8),AV103,0)+IF(AND('Your debts'!$F$15&lt;&gt;"",'Your debts'!$F$8&lt;&gt;"",'Your debts'!$F$15&lt;'Your debts'!$F$8),BA103,0)))))</f>
        <v/>
      </c>
      <c r="T103" s="33">
        <f>R103-S103</f>
        <v/>
      </c>
      <c r="U103" s="33">
        <f>IF(Y102&lt;=0,0,ROUND(Y102*(1+'Your debts'!$D$9/1200),2))</f>
        <v/>
      </c>
      <c r="V103" s="33">
        <f>IF(U103&lt;=0,0,MIN('Your debts'!$E$9,U103))</f>
        <v/>
      </c>
      <c r="W103" s="33">
        <f>U103-V103</f>
        <v/>
      </c>
      <c r="X103" s="33">
        <f>IF('Your debts'!$F$9="",0,MIN(W103,MAX(0,MAX(0,'Your debts'!$C$19-(G103+L103+Q103+V103+AA103+AF103+AK103+AP103+AU103+AZ103))-(IF(AND('Your debts'!$F$6&lt;&gt;"",'Your debts'!$F$9&lt;&gt;"",'Your debts'!$F$6&lt;'Your debts'!$F$9),H103,0)+IF(AND('Your debts'!$F$7&lt;&gt;"",'Your debts'!$F$9&lt;&gt;"",'Your debts'!$F$7&lt;'Your debts'!$F$9),M103,0)+IF(AND('Your debts'!$F$8&lt;&gt;"",'Your debts'!$F$9&lt;&gt;"",'Your debts'!$F$8&lt;'Your debts'!$F$9),R103,0)+IF(AND('Your debts'!$F$10&lt;&gt;"",'Your debts'!$F$9&lt;&gt;"",'Your debts'!$F$10&lt;'Your debts'!$F$9),AB103,0)+IF(AND('Your debts'!$F$11&lt;&gt;"",'Your debts'!$F$9&lt;&gt;"",'Your debts'!$F$11&lt;'Your debts'!$F$9),AG103,0)+IF(AND('Your debts'!$F$12&lt;&gt;"",'Your debts'!$F$9&lt;&gt;"",'Your debts'!$F$12&lt;'Your debts'!$F$9),AL103,0)+IF(AND('Your debts'!$F$13&lt;&gt;"",'Your debts'!$F$9&lt;&gt;"",'Your debts'!$F$13&lt;'Your debts'!$F$9),AQ103,0)+IF(AND('Your debts'!$F$14&lt;&gt;"",'Your debts'!$F$9&lt;&gt;"",'Your debts'!$F$14&lt;'Your debts'!$F$9),AV103,0)+IF(AND('Your debts'!$F$15&lt;&gt;"",'Your debts'!$F$9&lt;&gt;"",'Your debts'!$F$15&lt;'Your debts'!$F$9),BA103,0)))))</f>
        <v/>
      </c>
      <c r="Y103" s="33">
        <f>W103-X103</f>
        <v/>
      </c>
      <c r="Z103" s="33">
        <f>IF(AD102&lt;=0,0,ROUND(AD102*(1+'Your debts'!$D$10/1200),2))</f>
        <v/>
      </c>
      <c r="AA103" s="33">
        <f>IF(Z103&lt;=0,0,MIN('Your debts'!$E$10,Z103))</f>
        <v/>
      </c>
      <c r="AB103" s="33">
        <f>Z103-AA103</f>
        <v/>
      </c>
      <c r="AC103" s="33">
        <f>IF('Your debts'!$F$10="",0,MIN(AB103,MAX(0,MAX(0,'Your debts'!$C$19-(G103+L103+Q103+V103+AA103+AF103+AK103+AP103+AU103+AZ103))-(IF(AND('Your debts'!$F$6&lt;&gt;"",'Your debts'!$F$10&lt;&gt;"",'Your debts'!$F$6&lt;'Your debts'!$F$10),H103,0)+IF(AND('Your debts'!$F$7&lt;&gt;"",'Your debts'!$F$10&lt;&gt;"",'Your debts'!$F$7&lt;'Your debts'!$F$10),M103,0)+IF(AND('Your debts'!$F$8&lt;&gt;"",'Your debts'!$F$10&lt;&gt;"",'Your debts'!$F$8&lt;'Your debts'!$F$10),R103,0)+IF(AND('Your debts'!$F$9&lt;&gt;"",'Your debts'!$F$10&lt;&gt;"",'Your debts'!$F$9&lt;'Your debts'!$F$10),W103,0)+IF(AND('Your debts'!$F$11&lt;&gt;"",'Your debts'!$F$10&lt;&gt;"",'Your debts'!$F$11&lt;'Your debts'!$F$10),AG103,0)+IF(AND('Your debts'!$F$12&lt;&gt;"",'Your debts'!$F$10&lt;&gt;"",'Your debts'!$F$12&lt;'Your debts'!$F$10),AL103,0)+IF(AND('Your debts'!$F$13&lt;&gt;"",'Your debts'!$F$10&lt;&gt;"",'Your debts'!$F$13&lt;'Your debts'!$F$10),AQ103,0)+IF(AND('Your debts'!$F$14&lt;&gt;"",'Your debts'!$F$10&lt;&gt;"",'Your debts'!$F$14&lt;'Your debts'!$F$10),AV103,0)+IF(AND('Your debts'!$F$15&lt;&gt;"",'Your debts'!$F$10&lt;&gt;"",'Your debts'!$F$15&lt;'Your debts'!$F$10),BA103,0)))))</f>
        <v/>
      </c>
      <c r="AD103" s="33">
        <f>AB103-AC103</f>
        <v/>
      </c>
      <c r="AE103" s="33">
        <f>IF(AI102&lt;=0,0,ROUND(AI102*(1+'Your debts'!$D$11/1200),2))</f>
        <v/>
      </c>
      <c r="AF103" s="33">
        <f>IF(AE103&lt;=0,0,MIN('Your debts'!$E$11,AE103))</f>
        <v/>
      </c>
      <c r="AG103" s="33">
        <f>AE103-AF103</f>
        <v/>
      </c>
      <c r="AH103" s="33">
        <f>IF('Your debts'!$F$11="",0,MIN(AG103,MAX(0,MAX(0,'Your debts'!$C$19-(G103+L103+Q103+V103+AA103+AF103+AK103+AP103+AU103+AZ103))-(IF(AND('Your debts'!$F$6&lt;&gt;"",'Your debts'!$F$11&lt;&gt;"",'Your debts'!$F$6&lt;'Your debts'!$F$11),H103,0)+IF(AND('Your debts'!$F$7&lt;&gt;"",'Your debts'!$F$11&lt;&gt;"",'Your debts'!$F$7&lt;'Your debts'!$F$11),M103,0)+IF(AND('Your debts'!$F$8&lt;&gt;"",'Your debts'!$F$11&lt;&gt;"",'Your debts'!$F$8&lt;'Your debts'!$F$11),R103,0)+IF(AND('Your debts'!$F$9&lt;&gt;"",'Your debts'!$F$11&lt;&gt;"",'Your debts'!$F$9&lt;'Your debts'!$F$11),W103,0)+IF(AND('Your debts'!$F$10&lt;&gt;"",'Your debts'!$F$11&lt;&gt;"",'Your debts'!$F$10&lt;'Your debts'!$F$11),AB103,0)+IF(AND('Your debts'!$F$12&lt;&gt;"",'Your debts'!$F$11&lt;&gt;"",'Your debts'!$F$12&lt;'Your debts'!$F$11),AL103,0)+IF(AND('Your debts'!$F$13&lt;&gt;"",'Your debts'!$F$11&lt;&gt;"",'Your debts'!$F$13&lt;'Your debts'!$F$11),AQ103,0)+IF(AND('Your debts'!$F$14&lt;&gt;"",'Your debts'!$F$11&lt;&gt;"",'Your debts'!$F$14&lt;'Your debts'!$F$11),AV103,0)+IF(AND('Your debts'!$F$15&lt;&gt;"",'Your debts'!$F$11&lt;&gt;"",'Your debts'!$F$15&lt;'Your debts'!$F$11),BA103,0)))))</f>
        <v/>
      </c>
      <c r="AI103" s="33">
        <f>AG103-AH103</f>
        <v/>
      </c>
      <c r="AJ103" s="33">
        <f>IF(AN102&lt;=0,0,ROUND(AN102*(1+'Your debts'!$D$12/1200),2))</f>
        <v/>
      </c>
      <c r="AK103" s="33">
        <f>IF(AJ103&lt;=0,0,MIN('Your debts'!$E$12,AJ103))</f>
        <v/>
      </c>
      <c r="AL103" s="33">
        <f>AJ103-AK103</f>
        <v/>
      </c>
      <c r="AM103" s="33">
        <f>IF('Your debts'!$F$12="",0,MIN(AL103,MAX(0,MAX(0,'Your debts'!$C$19-(G103+L103+Q103+V103+AA103+AF103+AK103+AP103+AU103+AZ103))-(IF(AND('Your debts'!$F$6&lt;&gt;"",'Your debts'!$F$12&lt;&gt;"",'Your debts'!$F$6&lt;'Your debts'!$F$12),H103,0)+IF(AND('Your debts'!$F$7&lt;&gt;"",'Your debts'!$F$12&lt;&gt;"",'Your debts'!$F$7&lt;'Your debts'!$F$12),M103,0)+IF(AND('Your debts'!$F$8&lt;&gt;"",'Your debts'!$F$12&lt;&gt;"",'Your debts'!$F$8&lt;'Your debts'!$F$12),R103,0)+IF(AND('Your debts'!$F$9&lt;&gt;"",'Your debts'!$F$12&lt;&gt;"",'Your debts'!$F$9&lt;'Your debts'!$F$12),W103,0)+IF(AND('Your debts'!$F$10&lt;&gt;"",'Your debts'!$F$12&lt;&gt;"",'Your debts'!$F$10&lt;'Your debts'!$F$12),AB103,0)+IF(AND('Your debts'!$F$11&lt;&gt;"",'Your debts'!$F$12&lt;&gt;"",'Your debts'!$F$11&lt;'Your debts'!$F$12),AG103,0)+IF(AND('Your debts'!$F$13&lt;&gt;"",'Your debts'!$F$12&lt;&gt;"",'Your debts'!$F$13&lt;'Your debts'!$F$12),AQ103,0)+IF(AND('Your debts'!$F$14&lt;&gt;"",'Your debts'!$F$12&lt;&gt;"",'Your debts'!$F$14&lt;'Your debts'!$F$12),AV103,0)+IF(AND('Your debts'!$F$15&lt;&gt;"",'Your debts'!$F$12&lt;&gt;"",'Your debts'!$F$15&lt;'Your debts'!$F$12),BA103,0)))))</f>
        <v/>
      </c>
      <c r="AN103" s="33">
        <f>AL103-AM103</f>
        <v/>
      </c>
      <c r="AO103" s="33">
        <f>IF(AS102&lt;=0,0,ROUND(AS102*(1+'Your debts'!$D$13/1200),2))</f>
        <v/>
      </c>
      <c r="AP103" s="33">
        <f>IF(AO103&lt;=0,0,MIN('Your debts'!$E$13,AO103))</f>
        <v/>
      </c>
      <c r="AQ103" s="33">
        <f>AO103-AP103</f>
        <v/>
      </c>
      <c r="AR103" s="33">
        <f>IF('Your debts'!$F$13="",0,MIN(AQ103,MAX(0,MAX(0,'Your debts'!$C$19-(G103+L103+Q103+V103+AA103+AF103+AK103+AP103+AU103+AZ103))-(IF(AND('Your debts'!$F$6&lt;&gt;"",'Your debts'!$F$13&lt;&gt;"",'Your debts'!$F$6&lt;'Your debts'!$F$13),H103,0)+IF(AND('Your debts'!$F$7&lt;&gt;"",'Your debts'!$F$13&lt;&gt;"",'Your debts'!$F$7&lt;'Your debts'!$F$13),M103,0)+IF(AND('Your debts'!$F$8&lt;&gt;"",'Your debts'!$F$13&lt;&gt;"",'Your debts'!$F$8&lt;'Your debts'!$F$13),R103,0)+IF(AND('Your debts'!$F$9&lt;&gt;"",'Your debts'!$F$13&lt;&gt;"",'Your debts'!$F$9&lt;'Your debts'!$F$13),W103,0)+IF(AND('Your debts'!$F$10&lt;&gt;"",'Your debts'!$F$13&lt;&gt;"",'Your debts'!$F$10&lt;'Your debts'!$F$13),AB103,0)+IF(AND('Your debts'!$F$11&lt;&gt;"",'Your debts'!$F$13&lt;&gt;"",'Your debts'!$F$11&lt;'Your debts'!$F$13),AG103,0)+IF(AND('Your debts'!$F$12&lt;&gt;"",'Your debts'!$F$13&lt;&gt;"",'Your debts'!$F$12&lt;'Your debts'!$F$13),AL103,0)+IF(AND('Your debts'!$F$14&lt;&gt;"",'Your debts'!$F$13&lt;&gt;"",'Your debts'!$F$14&lt;'Your debts'!$F$13),AV103,0)+IF(AND('Your debts'!$F$15&lt;&gt;"",'Your debts'!$F$13&lt;&gt;"",'Your debts'!$F$15&lt;'Your debts'!$F$13),BA103,0)))))</f>
        <v/>
      </c>
      <c r="AS103" s="33">
        <f>AQ103-AR103</f>
        <v/>
      </c>
      <c r="AT103" s="33">
        <f>IF(AX102&lt;=0,0,ROUND(AX102*(1+'Your debts'!$D$14/1200),2))</f>
        <v/>
      </c>
      <c r="AU103" s="33">
        <f>IF(AT103&lt;=0,0,MIN('Your debts'!$E$14,AT103))</f>
        <v/>
      </c>
      <c r="AV103" s="33">
        <f>AT103-AU103</f>
        <v/>
      </c>
      <c r="AW103" s="33">
        <f>IF('Your debts'!$F$14="",0,MIN(AV103,MAX(0,MAX(0,'Your debts'!$C$19-(G103+L103+Q103+V103+AA103+AF103+AK103+AP103+AU103+AZ103))-(IF(AND('Your debts'!$F$6&lt;&gt;"",'Your debts'!$F$14&lt;&gt;"",'Your debts'!$F$6&lt;'Your debts'!$F$14),H103,0)+IF(AND('Your debts'!$F$7&lt;&gt;"",'Your debts'!$F$14&lt;&gt;"",'Your debts'!$F$7&lt;'Your debts'!$F$14),M103,0)+IF(AND('Your debts'!$F$8&lt;&gt;"",'Your debts'!$F$14&lt;&gt;"",'Your debts'!$F$8&lt;'Your debts'!$F$14),R103,0)+IF(AND('Your debts'!$F$9&lt;&gt;"",'Your debts'!$F$14&lt;&gt;"",'Your debts'!$F$9&lt;'Your debts'!$F$14),W103,0)+IF(AND('Your debts'!$F$10&lt;&gt;"",'Your debts'!$F$14&lt;&gt;"",'Your debts'!$F$10&lt;'Your debts'!$F$14),AB103,0)+IF(AND('Your debts'!$F$11&lt;&gt;"",'Your debts'!$F$14&lt;&gt;"",'Your debts'!$F$11&lt;'Your debts'!$F$14),AG103,0)+IF(AND('Your debts'!$F$12&lt;&gt;"",'Your debts'!$F$14&lt;&gt;"",'Your debts'!$F$12&lt;'Your debts'!$F$14),AL103,0)+IF(AND('Your debts'!$F$13&lt;&gt;"",'Your debts'!$F$14&lt;&gt;"",'Your debts'!$F$13&lt;'Your debts'!$F$14),AQ103,0)+IF(AND('Your debts'!$F$15&lt;&gt;"",'Your debts'!$F$14&lt;&gt;"",'Your debts'!$F$15&lt;'Your debts'!$F$14),BA103,0)))))</f>
        <v/>
      </c>
      <c r="AX103" s="33">
        <f>AV103-AW103</f>
        <v/>
      </c>
      <c r="AY103" s="33">
        <f>IF(BC102&lt;=0,0,ROUND(BC102*(1+'Your debts'!$D$15/1200),2))</f>
        <v/>
      </c>
      <c r="AZ103" s="33">
        <f>IF(AY103&lt;=0,0,MIN('Your debts'!$E$15,AY103))</f>
        <v/>
      </c>
      <c r="BA103" s="33">
        <f>AY103-AZ103</f>
        <v/>
      </c>
      <c r="BB103" s="33">
        <f>IF('Your debts'!$F$15="",0,MIN(BA103,MAX(0,MAX(0,'Your debts'!$C$19-(G103+L103+Q103+V103+AA103+AF103+AK103+AP103+AU103+AZ103))-(IF(AND('Your debts'!$F$6&lt;&gt;"",'Your debts'!$F$15&lt;&gt;"",'Your debts'!$F$6&lt;'Your debts'!$F$15),H103,0)+IF(AND('Your debts'!$F$7&lt;&gt;"",'Your debts'!$F$15&lt;&gt;"",'Your debts'!$F$7&lt;'Your debts'!$F$15),M103,0)+IF(AND('Your debts'!$F$8&lt;&gt;"",'Your debts'!$F$15&lt;&gt;"",'Your debts'!$F$8&lt;'Your debts'!$F$15),R103,0)+IF(AND('Your debts'!$F$9&lt;&gt;"",'Your debts'!$F$15&lt;&gt;"",'Your debts'!$F$9&lt;'Your debts'!$F$15),W103,0)+IF(AND('Your debts'!$F$10&lt;&gt;"",'Your debts'!$F$15&lt;&gt;"",'Your debts'!$F$10&lt;'Your debts'!$F$15),AB103,0)+IF(AND('Your debts'!$F$11&lt;&gt;"",'Your debts'!$F$15&lt;&gt;"",'Your debts'!$F$11&lt;'Your debts'!$F$15),AG103,0)+IF(AND('Your debts'!$F$12&lt;&gt;"",'Your debts'!$F$15&lt;&gt;"",'Your debts'!$F$12&lt;'Your debts'!$F$15),AL103,0)+IF(AND('Your debts'!$F$13&lt;&gt;"",'Your debts'!$F$15&lt;&gt;"",'Your debts'!$F$13&lt;'Your debts'!$F$15),AQ103,0)+IF(AND('Your debts'!$F$14&lt;&gt;"",'Your debts'!$F$15&lt;&gt;"",'Your debts'!$F$14&lt;'Your debts'!$F$15),AV103,0)))))</f>
        <v/>
      </c>
      <c r="BC103" s="33">
        <f>BA103-BB103</f>
        <v/>
      </c>
    </row>
    <row r="104">
      <c r="A104" s="30" t="n">
        <v>89</v>
      </c>
      <c r="B104" s="31">
        <f>EDATE($B$15,89)</f>
        <v/>
      </c>
      <c r="C104" s="32">
        <f>IF(J103&lt;=0,0,F104-J103)+IF(O103&lt;=0,0,K104-O103)+IF(T103&lt;=0,0,P104-T103)+IF(Y103&lt;=0,0,U104-Y103)+IF(AD103&lt;=0,0,Z104-AD103)+IF(AI103&lt;=0,0,AE104-AI103)+IF(AN103&lt;=0,0,AJ104-AN103)+IF(AS103&lt;=0,0,AO104-AS103)+IF(AX103&lt;=0,0,AT104-AX103)+IF(BC103&lt;=0,0,AY104-BC103)</f>
        <v/>
      </c>
      <c r="D104" s="32">
        <f>G104+I104+L104+N104+Q104+S104+V104+X104+AA104+AC104+AF104+AH104+AK104+AM104+AP104+AR104+AU104+AW104+AZ104+BB104</f>
        <v/>
      </c>
      <c r="E104" s="32">
        <f>J104+O104+T104+Y104+AD104+AI104+AN104+AS104+AX104+BC104</f>
        <v/>
      </c>
      <c r="F104" s="33">
        <f>IF(J103&lt;=0,0,ROUND(J103*(1+'Your debts'!$D$6/1200),2))</f>
        <v/>
      </c>
      <c r="G104" s="33">
        <f>IF(F104&lt;=0,0,MIN('Your debts'!$E$6,F104))</f>
        <v/>
      </c>
      <c r="H104" s="33">
        <f>F104-G104</f>
        <v/>
      </c>
      <c r="I104" s="33">
        <f>IF('Your debts'!$F$6="",0,MIN(H104,MAX(0,MAX(0,'Your debts'!$C$19-(G104+L104+Q104+V104+AA104+AF104+AK104+AP104+AU104+AZ104))-(IF(AND('Your debts'!$F$7&lt;&gt;"",'Your debts'!$F$6&lt;&gt;"",'Your debts'!$F$7&lt;'Your debts'!$F$6),M104,0)+IF(AND('Your debts'!$F$8&lt;&gt;"",'Your debts'!$F$6&lt;&gt;"",'Your debts'!$F$8&lt;'Your debts'!$F$6),R104,0)+IF(AND('Your debts'!$F$9&lt;&gt;"",'Your debts'!$F$6&lt;&gt;"",'Your debts'!$F$9&lt;'Your debts'!$F$6),W104,0)+IF(AND('Your debts'!$F$10&lt;&gt;"",'Your debts'!$F$6&lt;&gt;"",'Your debts'!$F$10&lt;'Your debts'!$F$6),AB104,0)+IF(AND('Your debts'!$F$11&lt;&gt;"",'Your debts'!$F$6&lt;&gt;"",'Your debts'!$F$11&lt;'Your debts'!$F$6),AG104,0)+IF(AND('Your debts'!$F$12&lt;&gt;"",'Your debts'!$F$6&lt;&gt;"",'Your debts'!$F$12&lt;'Your debts'!$F$6),AL104,0)+IF(AND('Your debts'!$F$13&lt;&gt;"",'Your debts'!$F$6&lt;&gt;"",'Your debts'!$F$13&lt;'Your debts'!$F$6),AQ104,0)+IF(AND('Your debts'!$F$14&lt;&gt;"",'Your debts'!$F$6&lt;&gt;"",'Your debts'!$F$14&lt;'Your debts'!$F$6),AV104,0)+IF(AND('Your debts'!$F$15&lt;&gt;"",'Your debts'!$F$6&lt;&gt;"",'Your debts'!$F$15&lt;'Your debts'!$F$6),BA104,0)))))</f>
        <v/>
      </c>
      <c r="J104" s="33">
        <f>H104-I104</f>
        <v/>
      </c>
      <c r="K104" s="33">
        <f>IF(O103&lt;=0,0,ROUND(O103*(1+'Your debts'!$D$7/1200),2))</f>
        <v/>
      </c>
      <c r="L104" s="33">
        <f>IF(K104&lt;=0,0,MIN('Your debts'!$E$7,K104))</f>
        <v/>
      </c>
      <c r="M104" s="33">
        <f>K104-L104</f>
        <v/>
      </c>
      <c r="N104" s="33">
        <f>IF('Your debts'!$F$7="",0,MIN(M104,MAX(0,MAX(0,'Your debts'!$C$19-(G104+L104+Q104+V104+AA104+AF104+AK104+AP104+AU104+AZ104))-(IF(AND('Your debts'!$F$6&lt;&gt;"",'Your debts'!$F$7&lt;&gt;"",'Your debts'!$F$6&lt;'Your debts'!$F$7),H104,0)+IF(AND('Your debts'!$F$8&lt;&gt;"",'Your debts'!$F$7&lt;&gt;"",'Your debts'!$F$8&lt;'Your debts'!$F$7),R104,0)+IF(AND('Your debts'!$F$9&lt;&gt;"",'Your debts'!$F$7&lt;&gt;"",'Your debts'!$F$9&lt;'Your debts'!$F$7),W104,0)+IF(AND('Your debts'!$F$10&lt;&gt;"",'Your debts'!$F$7&lt;&gt;"",'Your debts'!$F$10&lt;'Your debts'!$F$7),AB104,0)+IF(AND('Your debts'!$F$11&lt;&gt;"",'Your debts'!$F$7&lt;&gt;"",'Your debts'!$F$11&lt;'Your debts'!$F$7),AG104,0)+IF(AND('Your debts'!$F$12&lt;&gt;"",'Your debts'!$F$7&lt;&gt;"",'Your debts'!$F$12&lt;'Your debts'!$F$7),AL104,0)+IF(AND('Your debts'!$F$13&lt;&gt;"",'Your debts'!$F$7&lt;&gt;"",'Your debts'!$F$13&lt;'Your debts'!$F$7),AQ104,0)+IF(AND('Your debts'!$F$14&lt;&gt;"",'Your debts'!$F$7&lt;&gt;"",'Your debts'!$F$14&lt;'Your debts'!$F$7),AV104,0)+IF(AND('Your debts'!$F$15&lt;&gt;"",'Your debts'!$F$7&lt;&gt;"",'Your debts'!$F$15&lt;'Your debts'!$F$7),BA104,0)))))</f>
        <v/>
      </c>
      <c r="O104" s="33">
        <f>M104-N104</f>
        <v/>
      </c>
      <c r="P104" s="33">
        <f>IF(T103&lt;=0,0,ROUND(T103*(1+'Your debts'!$D$8/1200),2))</f>
        <v/>
      </c>
      <c r="Q104" s="33">
        <f>IF(P104&lt;=0,0,MIN('Your debts'!$E$8,P104))</f>
        <v/>
      </c>
      <c r="R104" s="33">
        <f>P104-Q104</f>
        <v/>
      </c>
      <c r="S104" s="33">
        <f>IF('Your debts'!$F$8="",0,MIN(R104,MAX(0,MAX(0,'Your debts'!$C$19-(G104+L104+Q104+V104+AA104+AF104+AK104+AP104+AU104+AZ104))-(IF(AND('Your debts'!$F$6&lt;&gt;"",'Your debts'!$F$8&lt;&gt;"",'Your debts'!$F$6&lt;'Your debts'!$F$8),H104,0)+IF(AND('Your debts'!$F$7&lt;&gt;"",'Your debts'!$F$8&lt;&gt;"",'Your debts'!$F$7&lt;'Your debts'!$F$8),M104,0)+IF(AND('Your debts'!$F$9&lt;&gt;"",'Your debts'!$F$8&lt;&gt;"",'Your debts'!$F$9&lt;'Your debts'!$F$8),W104,0)+IF(AND('Your debts'!$F$10&lt;&gt;"",'Your debts'!$F$8&lt;&gt;"",'Your debts'!$F$10&lt;'Your debts'!$F$8),AB104,0)+IF(AND('Your debts'!$F$11&lt;&gt;"",'Your debts'!$F$8&lt;&gt;"",'Your debts'!$F$11&lt;'Your debts'!$F$8),AG104,0)+IF(AND('Your debts'!$F$12&lt;&gt;"",'Your debts'!$F$8&lt;&gt;"",'Your debts'!$F$12&lt;'Your debts'!$F$8),AL104,0)+IF(AND('Your debts'!$F$13&lt;&gt;"",'Your debts'!$F$8&lt;&gt;"",'Your debts'!$F$13&lt;'Your debts'!$F$8),AQ104,0)+IF(AND('Your debts'!$F$14&lt;&gt;"",'Your debts'!$F$8&lt;&gt;"",'Your debts'!$F$14&lt;'Your debts'!$F$8),AV104,0)+IF(AND('Your debts'!$F$15&lt;&gt;"",'Your debts'!$F$8&lt;&gt;"",'Your debts'!$F$15&lt;'Your debts'!$F$8),BA104,0)))))</f>
        <v/>
      </c>
      <c r="T104" s="33">
        <f>R104-S104</f>
        <v/>
      </c>
      <c r="U104" s="33">
        <f>IF(Y103&lt;=0,0,ROUND(Y103*(1+'Your debts'!$D$9/1200),2))</f>
        <v/>
      </c>
      <c r="V104" s="33">
        <f>IF(U104&lt;=0,0,MIN('Your debts'!$E$9,U104))</f>
        <v/>
      </c>
      <c r="W104" s="33">
        <f>U104-V104</f>
        <v/>
      </c>
      <c r="X104" s="33">
        <f>IF('Your debts'!$F$9="",0,MIN(W104,MAX(0,MAX(0,'Your debts'!$C$19-(G104+L104+Q104+V104+AA104+AF104+AK104+AP104+AU104+AZ104))-(IF(AND('Your debts'!$F$6&lt;&gt;"",'Your debts'!$F$9&lt;&gt;"",'Your debts'!$F$6&lt;'Your debts'!$F$9),H104,0)+IF(AND('Your debts'!$F$7&lt;&gt;"",'Your debts'!$F$9&lt;&gt;"",'Your debts'!$F$7&lt;'Your debts'!$F$9),M104,0)+IF(AND('Your debts'!$F$8&lt;&gt;"",'Your debts'!$F$9&lt;&gt;"",'Your debts'!$F$8&lt;'Your debts'!$F$9),R104,0)+IF(AND('Your debts'!$F$10&lt;&gt;"",'Your debts'!$F$9&lt;&gt;"",'Your debts'!$F$10&lt;'Your debts'!$F$9),AB104,0)+IF(AND('Your debts'!$F$11&lt;&gt;"",'Your debts'!$F$9&lt;&gt;"",'Your debts'!$F$11&lt;'Your debts'!$F$9),AG104,0)+IF(AND('Your debts'!$F$12&lt;&gt;"",'Your debts'!$F$9&lt;&gt;"",'Your debts'!$F$12&lt;'Your debts'!$F$9),AL104,0)+IF(AND('Your debts'!$F$13&lt;&gt;"",'Your debts'!$F$9&lt;&gt;"",'Your debts'!$F$13&lt;'Your debts'!$F$9),AQ104,0)+IF(AND('Your debts'!$F$14&lt;&gt;"",'Your debts'!$F$9&lt;&gt;"",'Your debts'!$F$14&lt;'Your debts'!$F$9),AV104,0)+IF(AND('Your debts'!$F$15&lt;&gt;"",'Your debts'!$F$9&lt;&gt;"",'Your debts'!$F$15&lt;'Your debts'!$F$9),BA104,0)))))</f>
        <v/>
      </c>
      <c r="Y104" s="33">
        <f>W104-X104</f>
        <v/>
      </c>
      <c r="Z104" s="33">
        <f>IF(AD103&lt;=0,0,ROUND(AD103*(1+'Your debts'!$D$10/1200),2))</f>
        <v/>
      </c>
      <c r="AA104" s="33">
        <f>IF(Z104&lt;=0,0,MIN('Your debts'!$E$10,Z104))</f>
        <v/>
      </c>
      <c r="AB104" s="33">
        <f>Z104-AA104</f>
        <v/>
      </c>
      <c r="AC104" s="33">
        <f>IF('Your debts'!$F$10="",0,MIN(AB104,MAX(0,MAX(0,'Your debts'!$C$19-(G104+L104+Q104+V104+AA104+AF104+AK104+AP104+AU104+AZ104))-(IF(AND('Your debts'!$F$6&lt;&gt;"",'Your debts'!$F$10&lt;&gt;"",'Your debts'!$F$6&lt;'Your debts'!$F$10),H104,0)+IF(AND('Your debts'!$F$7&lt;&gt;"",'Your debts'!$F$10&lt;&gt;"",'Your debts'!$F$7&lt;'Your debts'!$F$10),M104,0)+IF(AND('Your debts'!$F$8&lt;&gt;"",'Your debts'!$F$10&lt;&gt;"",'Your debts'!$F$8&lt;'Your debts'!$F$10),R104,0)+IF(AND('Your debts'!$F$9&lt;&gt;"",'Your debts'!$F$10&lt;&gt;"",'Your debts'!$F$9&lt;'Your debts'!$F$10),W104,0)+IF(AND('Your debts'!$F$11&lt;&gt;"",'Your debts'!$F$10&lt;&gt;"",'Your debts'!$F$11&lt;'Your debts'!$F$10),AG104,0)+IF(AND('Your debts'!$F$12&lt;&gt;"",'Your debts'!$F$10&lt;&gt;"",'Your debts'!$F$12&lt;'Your debts'!$F$10),AL104,0)+IF(AND('Your debts'!$F$13&lt;&gt;"",'Your debts'!$F$10&lt;&gt;"",'Your debts'!$F$13&lt;'Your debts'!$F$10),AQ104,0)+IF(AND('Your debts'!$F$14&lt;&gt;"",'Your debts'!$F$10&lt;&gt;"",'Your debts'!$F$14&lt;'Your debts'!$F$10),AV104,0)+IF(AND('Your debts'!$F$15&lt;&gt;"",'Your debts'!$F$10&lt;&gt;"",'Your debts'!$F$15&lt;'Your debts'!$F$10),BA104,0)))))</f>
        <v/>
      </c>
      <c r="AD104" s="33">
        <f>AB104-AC104</f>
        <v/>
      </c>
      <c r="AE104" s="33">
        <f>IF(AI103&lt;=0,0,ROUND(AI103*(1+'Your debts'!$D$11/1200),2))</f>
        <v/>
      </c>
      <c r="AF104" s="33">
        <f>IF(AE104&lt;=0,0,MIN('Your debts'!$E$11,AE104))</f>
        <v/>
      </c>
      <c r="AG104" s="33">
        <f>AE104-AF104</f>
        <v/>
      </c>
      <c r="AH104" s="33">
        <f>IF('Your debts'!$F$11="",0,MIN(AG104,MAX(0,MAX(0,'Your debts'!$C$19-(G104+L104+Q104+V104+AA104+AF104+AK104+AP104+AU104+AZ104))-(IF(AND('Your debts'!$F$6&lt;&gt;"",'Your debts'!$F$11&lt;&gt;"",'Your debts'!$F$6&lt;'Your debts'!$F$11),H104,0)+IF(AND('Your debts'!$F$7&lt;&gt;"",'Your debts'!$F$11&lt;&gt;"",'Your debts'!$F$7&lt;'Your debts'!$F$11),M104,0)+IF(AND('Your debts'!$F$8&lt;&gt;"",'Your debts'!$F$11&lt;&gt;"",'Your debts'!$F$8&lt;'Your debts'!$F$11),R104,0)+IF(AND('Your debts'!$F$9&lt;&gt;"",'Your debts'!$F$11&lt;&gt;"",'Your debts'!$F$9&lt;'Your debts'!$F$11),W104,0)+IF(AND('Your debts'!$F$10&lt;&gt;"",'Your debts'!$F$11&lt;&gt;"",'Your debts'!$F$10&lt;'Your debts'!$F$11),AB104,0)+IF(AND('Your debts'!$F$12&lt;&gt;"",'Your debts'!$F$11&lt;&gt;"",'Your debts'!$F$12&lt;'Your debts'!$F$11),AL104,0)+IF(AND('Your debts'!$F$13&lt;&gt;"",'Your debts'!$F$11&lt;&gt;"",'Your debts'!$F$13&lt;'Your debts'!$F$11),AQ104,0)+IF(AND('Your debts'!$F$14&lt;&gt;"",'Your debts'!$F$11&lt;&gt;"",'Your debts'!$F$14&lt;'Your debts'!$F$11),AV104,0)+IF(AND('Your debts'!$F$15&lt;&gt;"",'Your debts'!$F$11&lt;&gt;"",'Your debts'!$F$15&lt;'Your debts'!$F$11),BA104,0)))))</f>
        <v/>
      </c>
      <c r="AI104" s="33">
        <f>AG104-AH104</f>
        <v/>
      </c>
      <c r="AJ104" s="33">
        <f>IF(AN103&lt;=0,0,ROUND(AN103*(1+'Your debts'!$D$12/1200),2))</f>
        <v/>
      </c>
      <c r="AK104" s="33">
        <f>IF(AJ104&lt;=0,0,MIN('Your debts'!$E$12,AJ104))</f>
        <v/>
      </c>
      <c r="AL104" s="33">
        <f>AJ104-AK104</f>
        <v/>
      </c>
      <c r="AM104" s="33">
        <f>IF('Your debts'!$F$12="",0,MIN(AL104,MAX(0,MAX(0,'Your debts'!$C$19-(G104+L104+Q104+V104+AA104+AF104+AK104+AP104+AU104+AZ104))-(IF(AND('Your debts'!$F$6&lt;&gt;"",'Your debts'!$F$12&lt;&gt;"",'Your debts'!$F$6&lt;'Your debts'!$F$12),H104,0)+IF(AND('Your debts'!$F$7&lt;&gt;"",'Your debts'!$F$12&lt;&gt;"",'Your debts'!$F$7&lt;'Your debts'!$F$12),M104,0)+IF(AND('Your debts'!$F$8&lt;&gt;"",'Your debts'!$F$12&lt;&gt;"",'Your debts'!$F$8&lt;'Your debts'!$F$12),R104,0)+IF(AND('Your debts'!$F$9&lt;&gt;"",'Your debts'!$F$12&lt;&gt;"",'Your debts'!$F$9&lt;'Your debts'!$F$12),W104,0)+IF(AND('Your debts'!$F$10&lt;&gt;"",'Your debts'!$F$12&lt;&gt;"",'Your debts'!$F$10&lt;'Your debts'!$F$12),AB104,0)+IF(AND('Your debts'!$F$11&lt;&gt;"",'Your debts'!$F$12&lt;&gt;"",'Your debts'!$F$11&lt;'Your debts'!$F$12),AG104,0)+IF(AND('Your debts'!$F$13&lt;&gt;"",'Your debts'!$F$12&lt;&gt;"",'Your debts'!$F$13&lt;'Your debts'!$F$12),AQ104,0)+IF(AND('Your debts'!$F$14&lt;&gt;"",'Your debts'!$F$12&lt;&gt;"",'Your debts'!$F$14&lt;'Your debts'!$F$12),AV104,0)+IF(AND('Your debts'!$F$15&lt;&gt;"",'Your debts'!$F$12&lt;&gt;"",'Your debts'!$F$15&lt;'Your debts'!$F$12),BA104,0)))))</f>
        <v/>
      </c>
      <c r="AN104" s="33">
        <f>AL104-AM104</f>
        <v/>
      </c>
      <c r="AO104" s="33">
        <f>IF(AS103&lt;=0,0,ROUND(AS103*(1+'Your debts'!$D$13/1200),2))</f>
        <v/>
      </c>
      <c r="AP104" s="33">
        <f>IF(AO104&lt;=0,0,MIN('Your debts'!$E$13,AO104))</f>
        <v/>
      </c>
      <c r="AQ104" s="33">
        <f>AO104-AP104</f>
        <v/>
      </c>
      <c r="AR104" s="33">
        <f>IF('Your debts'!$F$13="",0,MIN(AQ104,MAX(0,MAX(0,'Your debts'!$C$19-(G104+L104+Q104+V104+AA104+AF104+AK104+AP104+AU104+AZ104))-(IF(AND('Your debts'!$F$6&lt;&gt;"",'Your debts'!$F$13&lt;&gt;"",'Your debts'!$F$6&lt;'Your debts'!$F$13),H104,0)+IF(AND('Your debts'!$F$7&lt;&gt;"",'Your debts'!$F$13&lt;&gt;"",'Your debts'!$F$7&lt;'Your debts'!$F$13),M104,0)+IF(AND('Your debts'!$F$8&lt;&gt;"",'Your debts'!$F$13&lt;&gt;"",'Your debts'!$F$8&lt;'Your debts'!$F$13),R104,0)+IF(AND('Your debts'!$F$9&lt;&gt;"",'Your debts'!$F$13&lt;&gt;"",'Your debts'!$F$9&lt;'Your debts'!$F$13),W104,0)+IF(AND('Your debts'!$F$10&lt;&gt;"",'Your debts'!$F$13&lt;&gt;"",'Your debts'!$F$10&lt;'Your debts'!$F$13),AB104,0)+IF(AND('Your debts'!$F$11&lt;&gt;"",'Your debts'!$F$13&lt;&gt;"",'Your debts'!$F$11&lt;'Your debts'!$F$13),AG104,0)+IF(AND('Your debts'!$F$12&lt;&gt;"",'Your debts'!$F$13&lt;&gt;"",'Your debts'!$F$12&lt;'Your debts'!$F$13),AL104,0)+IF(AND('Your debts'!$F$14&lt;&gt;"",'Your debts'!$F$13&lt;&gt;"",'Your debts'!$F$14&lt;'Your debts'!$F$13),AV104,0)+IF(AND('Your debts'!$F$15&lt;&gt;"",'Your debts'!$F$13&lt;&gt;"",'Your debts'!$F$15&lt;'Your debts'!$F$13),BA104,0)))))</f>
        <v/>
      </c>
      <c r="AS104" s="33">
        <f>AQ104-AR104</f>
        <v/>
      </c>
      <c r="AT104" s="33">
        <f>IF(AX103&lt;=0,0,ROUND(AX103*(1+'Your debts'!$D$14/1200),2))</f>
        <v/>
      </c>
      <c r="AU104" s="33">
        <f>IF(AT104&lt;=0,0,MIN('Your debts'!$E$14,AT104))</f>
        <v/>
      </c>
      <c r="AV104" s="33">
        <f>AT104-AU104</f>
        <v/>
      </c>
      <c r="AW104" s="33">
        <f>IF('Your debts'!$F$14="",0,MIN(AV104,MAX(0,MAX(0,'Your debts'!$C$19-(G104+L104+Q104+V104+AA104+AF104+AK104+AP104+AU104+AZ104))-(IF(AND('Your debts'!$F$6&lt;&gt;"",'Your debts'!$F$14&lt;&gt;"",'Your debts'!$F$6&lt;'Your debts'!$F$14),H104,0)+IF(AND('Your debts'!$F$7&lt;&gt;"",'Your debts'!$F$14&lt;&gt;"",'Your debts'!$F$7&lt;'Your debts'!$F$14),M104,0)+IF(AND('Your debts'!$F$8&lt;&gt;"",'Your debts'!$F$14&lt;&gt;"",'Your debts'!$F$8&lt;'Your debts'!$F$14),R104,0)+IF(AND('Your debts'!$F$9&lt;&gt;"",'Your debts'!$F$14&lt;&gt;"",'Your debts'!$F$9&lt;'Your debts'!$F$14),W104,0)+IF(AND('Your debts'!$F$10&lt;&gt;"",'Your debts'!$F$14&lt;&gt;"",'Your debts'!$F$10&lt;'Your debts'!$F$14),AB104,0)+IF(AND('Your debts'!$F$11&lt;&gt;"",'Your debts'!$F$14&lt;&gt;"",'Your debts'!$F$11&lt;'Your debts'!$F$14),AG104,0)+IF(AND('Your debts'!$F$12&lt;&gt;"",'Your debts'!$F$14&lt;&gt;"",'Your debts'!$F$12&lt;'Your debts'!$F$14),AL104,0)+IF(AND('Your debts'!$F$13&lt;&gt;"",'Your debts'!$F$14&lt;&gt;"",'Your debts'!$F$13&lt;'Your debts'!$F$14),AQ104,0)+IF(AND('Your debts'!$F$15&lt;&gt;"",'Your debts'!$F$14&lt;&gt;"",'Your debts'!$F$15&lt;'Your debts'!$F$14),BA104,0)))))</f>
        <v/>
      </c>
      <c r="AX104" s="33">
        <f>AV104-AW104</f>
        <v/>
      </c>
      <c r="AY104" s="33">
        <f>IF(BC103&lt;=0,0,ROUND(BC103*(1+'Your debts'!$D$15/1200),2))</f>
        <v/>
      </c>
      <c r="AZ104" s="33">
        <f>IF(AY104&lt;=0,0,MIN('Your debts'!$E$15,AY104))</f>
        <v/>
      </c>
      <c r="BA104" s="33">
        <f>AY104-AZ104</f>
        <v/>
      </c>
      <c r="BB104" s="33">
        <f>IF('Your debts'!$F$15="",0,MIN(BA104,MAX(0,MAX(0,'Your debts'!$C$19-(G104+L104+Q104+V104+AA104+AF104+AK104+AP104+AU104+AZ104))-(IF(AND('Your debts'!$F$6&lt;&gt;"",'Your debts'!$F$15&lt;&gt;"",'Your debts'!$F$6&lt;'Your debts'!$F$15),H104,0)+IF(AND('Your debts'!$F$7&lt;&gt;"",'Your debts'!$F$15&lt;&gt;"",'Your debts'!$F$7&lt;'Your debts'!$F$15),M104,0)+IF(AND('Your debts'!$F$8&lt;&gt;"",'Your debts'!$F$15&lt;&gt;"",'Your debts'!$F$8&lt;'Your debts'!$F$15),R104,0)+IF(AND('Your debts'!$F$9&lt;&gt;"",'Your debts'!$F$15&lt;&gt;"",'Your debts'!$F$9&lt;'Your debts'!$F$15),W104,0)+IF(AND('Your debts'!$F$10&lt;&gt;"",'Your debts'!$F$15&lt;&gt;"",'Your debts'!$F$10&lt;'Your debts'!$F$15),AB104,0)+IF(AND('Your debts'!$F$11&lt;&gt;"",'Your debts'!$F$15&lt;&gt;"",'Your debts'!$F$11&lt;'Your debts'!$F$15),AG104,0)+IF(AND('Your debts'!$F$12&lt;&gt;"",'Your debts'!$F$15&lt;&gt;"",'Your debts'!$F$12&lt;'Your debts'!$F$15),AL104,0)+IF(AND('Your debts'!$F$13&lt;&gt;"",'Your debts'!$F$15&lt;&gt;"",'Your debts'!$F$13&lt;'Your debts'!$F$15),AQ104,0)+IF(AND('Your debts'!$F$14&lt;&gt;"",'Your debts'!$F$15&lt;&gt;"",'Your debts'!$F$14&lt;'Your debts'!$F$15),AV104,0)))))</f>
        <v/>
      </c>
      <c r="BC104" s="33">
        <f>BA104-BB104</f>
        <v/>
      </c>
    </row>
    <row r="105">
      <c r="A105" s="30" t="n">
        <v>90</v>
      </c>
      <c r="B105" s="31">
        <f>EDATE($B$15,90)</f>
        <v/>
      </c>
      <c r="C105" s="32">
        <f>IF(J104&lt;=0,0,F105-J104)+IF(O104&lt;=0,0,K105-O104)+IF(T104&lt;=0,0,P105-T104)+IF(Y104&lt;=0,0,U105-Y104)+IF(AD104&lt;=0,0,Z105-AD104)+IF(AI104&lt;=0,0,AE105-AI104)+IF(AN104&lt;=0,0,AJ105-AN104)+IF(AS104&lt;=0,0,AO105-AS104)+IF(AX104&lt;=0,0,AT105-AX104)+IF(BC104&lt;=0,0,AY105-BC104)</f>
        <v/>
      </c>
      <c r="D105" s="32">
        <f>G105+I105+L105+N105+Q105+S105+V105+X105+AA105+AC105+AF105+AH105+AK105+AM105+AP105+AR105+AU105+AW105+AZ105+BB105</f>
        <v/>
      </c>
      <c r="E105" s="32">
        <f>J105+O105+T105+Y105+AD105+AI105+AN105+AS105+AX105+BC105</f>
        <v/>
      </c>
      <c r="F105" s="33">
        <f>IF(J104&lt;=0,0,ROUND(J104*(1+'Your debts'!$D$6/1200),2))</f>
        <v/>
      </c>
      <c r="G105" s="33">
        <f>IF(F105&lt;=0,0,MIN('Your debts'!$E$6,F105))</f>
        <v/>
      </c>
      <c r="H105" s="33">
        <f>F105-G105</f>
        <v/>
      </c>
      <c r="I105" s="33">
        <f>IF('Your debts'!$F$6="",0,MIN(H105,MAX(0,MAX(0,'Your debts'!$C$19-(G105+L105+Q105+V105+AA105+AF105+AK105+AP105+AU105+AZ105))-(IF(AND('Your debts'!$F$7&lt;&gt;"",'Your debts'!$F$6&lt;&gt;"",'Your debts'!$F$7&lt;'Your debts'!$F$6),M105,0)+IF(AND('Your debts'!$F$8&lt;&gt;"",'Your debts'!$F$6&lt;&gt;"",'Your debts'!$F$8&lt;'Your debts'!$F$6),R105,0)+IF(AND('Your debts'!$F$9&lt;&gt;"",'Your debts'!$F$6&lt;&gt;"",'Your debts'!$F$9&lt;'Your debts'!$F$6),W105,0)+IF(AND('Your debts'!$F$10&lt;&gt;"",'Your debts'!$F$6&lt;&gt;"",'Your debts'!$F$10&lt;'Your debts'!$F$6),AB105,0)+IF(AND('Your debts'!$F$11&lt;&gt;"",'Your debts'!$F$6&lt;&gt;"",'Your debts'!$F$11&lt;'Your debts'!$F$6),AG105,0)+IF(AND('Your debts'!$F$12&lt;&gt;"",'Your debts'!$F$6&lt;&gt;"",'Your debts'!$F$12&lt;'Your debts'!$F$6),AL105,0)+IF(AND('Your debts'!$F$13&lt;&gt;"",'Your debts'!$F$6&lt;&gt;"",'Your debts'!$F$13&lt;'Your debts'!$F$6),AQ105,0)+IF(AND('Your debts'!$F$14&lt;&gt;"",'Your debts'!$F$6&lt;&gt;"",'Your debts'!$F$14&lt;'Your debts'!$F$6),AV105,0)+IF(AND('Your debts'!$F$15&lt;&gt;"",'Your debts'!$F$6&lt;&gt;"",'Your debts'!$F$15&lt;'Your debts'!$F$6),BA105,0)))))</f>
        <v/>
      </c>
      <c r="J105" s="33">
        <f>H105-I105</f>
        <v/>
      </c>
      <c r="K105" s="33">
        <f>IF(O104&lt;=0,0,ROUND(O104*(1+'Your debts'!$D$7/1200),2))</f>
        <v/>
      </c>
      <c r="L105" s="33">
        <f>IF(K105&lt;=0,0,MIN('Your debts'!$E$7,K105))</f>
        <v/>
      </c>
      <c r="M105" s="33">
        <f>K105-L105</f>
        <v/>
      </c>
      <c r="N105" s="33">
        <f>IF('Your debts'!$F$7="",0,MIN(M105,MAX(0,MAX(0,'Your debts'!$C$19-(G105+L105+Q105+V105+AA105+AF105+AK105+AP105+AU105+AZ105))-(IF(AND('Your debts'!$F$6&lt;&gt;"",'Your debts'!$F$7&lt;&gt;"",'Your debts'!$F$6&lt;'Your debts'!$F$7),H105,0)+IF(AND('Your debts'!$F$8&lt;&gt;"",'Your debts'!$F$7&lt;&gt;"",'Your debts'!$F$8&lt;'Your debts'!$F$7),R105,0)+IF(AND('Your debts'!$F$9&lt;&gt;"",'Your debts'!$F$7&lt;&gt;"",'Your debts'!$F$9&lt;'Your debts'!$F$7),W105,0)+IF(AND('Your debts'!$F$10&lt;&gt;"",'Your debts'!$F$7&lt;&gt;"",'Your debts'!$F$10&lt;'Your debts'!$F$7),AB105,0)+IF(AND('Your debts'!$F$11&lt;&gt;"",'Your debts'!$F$7&lt;&gt;"",'Your debts'!$F$11&lt;'Your debts'!$F$7),AG105,0)+IF(AND('Your debts'!$F$12&lt;&gt;"",'Your debts'!$F$7&lt;&gt;"",'Your debts'!$F$12&lt;'Your debts'!$F$7),AL105,0)+IF(AND('Your debts'!$F$13&lt;&gt;"",'Your debts'!$F$7&lt;&gt;"",'Your debts'!$F$13&lt;'Your debts'!$F$7),AQ105,0)+IF(AND('Your debts'!$F$14&lt;&gt;"",'Your debts'!$F$7&lt;&gt;"",'Your debts'!$F$14&lt;'Your debts'!$F$7),AV105,0)+IF(AND('Your debts'!$F$15&lt;&gt;"",'Your debts'!$F$7&lt;&gt;"",'Your debts'!$F$15&lt;'Your debts'!$F$7),BA105,0)))))</f>
        <v/>
      </c>
      <c r="O105" s="33">
        <f>M105-N105</f>
        <v/>
      </c>
      <c r="P105" s="33">
        <f>IF(T104&lt;=0,0,ROUND(T104*(1+'Your debts'!$D$8/1200),2))</f>
        <v/>
      </c>
      <c r="Q105" s="33">
        <f>IF(P105&lt;=0,0,MIN('Your debts'!$E$8,P105))</f>
        <v/>
      </c>
      <c r="R105" s="33">
        <f>P105-Q105</f>
        <v/>
      </c>
      <c r="S105" s="33">
        <f>IF('Your debts'!$F$8="",0,MIN(R105,MAX(0,MAX(0,'Your debts'!$C$19-(G105+L105+Q105+V105+AA105+AF105+AK105+AP105+AU105+AZ105))-(IF(AND('Your debts'!$F$6&lt;&gt;"",'Your debts'!$F$8&lt;&gt;"",'Your debts'!$F$6&lt;'Your debts'!$F$8),H105,0)+IF(AND('Your debts'!$F$7&lt;&gt;"",'Your debts'!$F$8&lt;&gt;"",'Your debts'!$F$7&lt;'Your debts'!$F$8),M105,0)+IF(AND('Your debts'!$F$9&lt;&gt;"",'Your debts'!$F$8&lt;&gt;"",'Your debts'!$F$9&lt;'Your debts'!$F$8),W105,0)+IF(AND('Your debts'!$F$10&lt;&gt;"",'Your debts'!$F$8&lt;&gt;"",'Your debts'!$F$10&lt;'Your debts'!$F$8),AB105,0)+IF(AND('Your debts'!$F$11&lt;&gt;"",'Your debts'!$F$8&lt;&gt;"",'Your debts'!$F$11&lt;'Your debts'!$F$8),AG105,0)+IF(AND('Your debts'!$F$12&lt;&gt;"",'Your debts'!$F$8&lt;&gt;"",'Your debts'!$F$12&lt;'Your debts'!$F$8),AL105,0)+IF(AND('Your debts'!$F$13&lt;&gt;"",'Your debts'!$F$8&lt;&gt;"",'Your debts'!$F$13&lt;'Your debts'!$F$8),AQ105,0)+IF(AND('Your debts'!$F$14&lt;&gt;"",'Your debts'!$F$8&lt;&gt;"",'Your debts'!$F$14&lt;'Your debts'!$F$8),AV105,0)+IF(AND('Your debts'!$F$15&lt;&gt;"",'Your debts'!$F$8&lt;&gt;"",'Your debts'!$F$15&lt;'Your debts'!$F$8),BA105,0)))))</f>
        <v/>
      </c>
      <c r="T105" s="33">
        <f>R105-S105</f>
        <v/>
      </c>
      <c r="U105" s="33">
        <f>IF(Y104&lt;=0,0,ROUND(Y104*(1+'Your debts'!$D$9/1200),2))</f>
        <v/>
      </c>
      <c r="V105" s="33">
        <f>IF(U105&lt;=0,0,MIN('Your debts'!$E$9,U105))</f>
        <v/>
      </c>
      <c r="W105" s="33">
        <f>U105-V105</f>
        <v/>
      </c>
      <c r="X105" s="33">
        <f>IF('Your debts'!$F$9="",0,MIN(W105,MAX(0,MAX(0,'Your debts'!$C$19-(G105+L105+Q105+V105+AA105+AF105+AK105+AP105+AU105+AZ105))-(IF(AND('Your debts'!$F$6&lt;&gt;"",'Your debts'!$F$9&lt;&gt;"",'Your debts'!$F$6&lt;'Your debts'!$F$9),H105,0)+IF(AND('Your debts'!$F$7&lt;&gt;"",'Your debts'!$F$9&lt;&gt;"",'Your debts'!$F$7&lt;'Your debts'!$F$9),M105,0)+IF(AND('Your debts'!$F$8&lt;&gt;"",'Your debts'!$F$9&lt;&gt;"",'Your debts'!$F$8&lt;'Your debts'!$F$9),R105,0)+IF(AND('Your debts'!$F$10&lt;&gt;"",'Your debts'!$F$9&lt;&gt;"",'Your debts'!$F$10&lt;'Your debts'!$F$9),AB105,0)+IF(AND('Your debts'!$F$11&lt;&gt;"",'Your debts'!$F$9&lt;&gt;"",'Your debts'!$F$11&lt;'Your debts'!$F$9),AG105,0)+IF(AND('Your debts'!$F$12&lt;&gt;"",'Your debts'!$F$9&lt;&gt;"",'Your debts'!$F$12&lt;'Your debts'!$F$9),AL105,0)+IF(AND('Your debts'!$F$13&lt;&gt;"",'Your debts'!$F$9&lt;&gt;"",'Your debts'!$F$13&lt;'Your debts'!$F$9),AQ105,0)+IF(AND('Your debts'!$F$14&lt;&gt;"",'Your debts'!$F$9&lt;&gt;"",'Your debts'!$F$14&lt;'Your debts'!$F$9),AV105,0)+IF(AND('Your debts'!$F$15&lt;&gt;"",'Your debts'!$F$9&lt;&gt;"",'Your debts'!$F$15&lt;'Your debts'!$F$9),BA105,0)))))</f>
        <v/>
      </c>
      <c r="Y105" s="33">
        <f>W105-X105</f>
        <v/>
      </c>
      <c r="Z105" s="33">
        <f>IF(AD104&lt;=0,0,ROUND(AD104*(1+'Your debts'!$D$10/1200),2))</f>
        <v/>
      </c>
      <c r="AA105" s="33">
        <f>IF(Z105&lt;=0,0,MIN('Your debts'!$E$10,Z105))</f>
        <v/>
      </c>
      <c r="AB105" s="33">
        <f>Z105-AA105</f>
        <v/>
      </c>
      <c r="AC105" s="33">
        <f>IF('Your debts'!$F$10="",0,MIN(AB105,MAX(0,MAX(0,'Your debts'!$C$19-(G105+L105+Q105+V105+AA105+AF105+AK105+AP105+AU105+AZ105))-(IF(AND('Your debts'!$F$6&lt;&gt;"",'Your debts'!$F$10&lt;&gt;"",'Your debts'!$F$6&lt;'Your debts'!$F$10),H105,0)+IF(AND('Your debts'!$F$7&lt;&gt;"",'Your debts'!$F$10&lt;&gt;"",'Your debts'!$F$7&lt;'Your debts'!$F$10),M105,0)+IF(AND('Your debts'!$F$8&lt;&gt;"",'Your debts'!$F$10&lt;&gt;"",'Your debts'!$F$8&lt;'Your debts'!$F$10),R105,0)+IF(AND('Your debts'!$F$9&lt;&gt;"",'Your debts'!$F$10&lt;&gt;"",'Your debts'!$F$9&lt;'Your debts'!$F$10),W105,0)+IF(AND('Your debts'!$F$11&lt;&gt;"",'Your debts'!$F$10&lt;&gt;"",'Your debts'!$F$11&lt;'Your debts'!$F$10),AG105,0)+IF(AND('Your debts'!$F$12&lt;&gt;"",'Your debts'!$F$10&lt;&gt;"",'Your debts'!$F$12&lt;'Your debts'!$F$10),AL105,0)+IF(AND('Your debts'!$F$13&lt;&gt;"",'Your debts'!$F$10&lt;&gt;"",'Your debts'!$F$13&lt;'Your debts'!$F$10),AQ105,0)+IF(AND('Your debts'!$F$14&lt;&gt;"",'Your debts'!$F$10&lt;&gt;"",'Your debts'!$F$14&lt;'Your debts'!$F$10),AV105,0)+IF(AND('Your debts'!$F$15&lt;&gt;"",'Your debts'!$F$10&lt;&gt;"",'Your debts'!$F$15&lt;'Your debts'!$F$10),BA105,0)))))</f>
        <v/>
      </c>
      <c r="AD105" s="33">
        <f>AB105-AC105</f>
        <v/>
      </c>
      <c r="AE105" s="33">
        <f>IF(AI104&lt;=0,0,ROUND(AI104*(1+'Your debts'!$D$11/1200),2))</f>
        <v/>
      </c>
      <c r="AF105" s="33">
        <f>IF(AE105&lt;=0,0,MIN('Your debts'!$E$11,AE105))</f>
        <v/>
      </c>
      <c r="AG105" s="33">
        <f>AE105-AF105</f>
        <v/>
      </c>
      <c r="AH105" s="33">
        <f>IF('Your debts'!$F$11="",0,MIN(AG105,MAX(0,MAX(0,'Your debts'!$C$19-(G105+L105+Q105+V105+AA105+AF105+AK105+AP105+AU105+AZ105))-(IF(AND('Your debts'!$F$6&lt;&gt;"",'Your debts'!$F$11&lt;&gt;"",'Your debts'!$F$6&lt;'Your debts'!$F$11),H105,0)+IF(AND('Your debts'!$F$7&lt;&gt;"",'Your debts'!$F$11&lt;&gt;"",'Your debts'!$F$7&lt;'Your debts'!$F$11),M105,0)+IF(AND('Your debts'!$F$8&lt;&gt;"",'Your debts'!$F$11&lt;&gt;"",'Your debts'!$F$8&lt;'Your debts'!$F$11),R105,0)+IF(AND('Your debts'!$F$9&lt;&gt;"",'Your debts'!$F$11&lt;&gt;"",'Your debts'!$F$9&lt;'Your debts'!$F$11),W105,0)+IF(AND('Your debts'!$F$10&lt;&gt;"",'Your debts'!$F$11&lt;&gt;"",'Your debts'!$F$10&lt;'Your debts'!$F$11),AB105,0)+IF(AND('Your debts'!$F$12&lt;&gt;"",'Your debts'!$F$11&lt;&gt;"",'Your debts'!$F$12&lt;'Your debts'!$F$11),AL105,0)+IF(AND('Your debts'!$F$13&lt;&gt;"",'Your debts'!$F$11&lt;&gt;"",'Your debts'!$F$13&lt;'Your debts'!$F$11),AQ105,0)+IF(AND('Your debts'!$F$14&lt;&gt;"",'Your debts'!$F$11&lt;&gt;"",'Your debts'!$F$14&lt;'Your debts'!$F$11),AV105,0)+IF(AND('Your debts'!$F$15&lt;&gt;"",'Your debts'!$F$11&lt;&gt;"",'Your debts'!$F$15&lt;'Your debts'!$F$11),BA105,0)))))</f>
        <v/>
      </c>
      <c r="AI105" s="33">
        <f>AG105-AH105</f>
        <v/>
      </c>
      <c r="AJ105" s="33">
        <f>IF(AN104&lt;=0,0,ROUND(AN104*(1+'Your debts'!$D$12/1200),2))</f>
        <v/>
      </c>
      <c r="AK105" s="33">
        <f>IF(AJ105&lt;=0,0,MIN('Your debts'!$E$12,AJ105))</f>
        <v/>
      </c>
      <c r="AL105" s="33">
        <f>AJ105-AK105</f>
        <v/>
      </c>
      <c r="AM105" s="33">
        <f>IF('Your debts'!$F$12="",0,MIN(AL105,MAX(0,MAX(0,'Your debts'!$C$19-(G105+L105+Q105+V105+AA105+AF105+AK105+AP105+AU105+AZ105))-(IF(AND('Your debts'!$F$6&lt;&gt;"",'Your debts'!$F$12&lt;&gt;"",'Your debts'!$F$6&lt;'Your debts'!$F$12),H105,0)+IF(AND('Your debts'!$F$7&lt;&gt;"",'Your debts'!$F$12&lt;&gt;"",'Your debts'!$F$7&lt;'Your debts'!$F$12),M105,0)+IF(AND('Your debts'!$F$8&lt;&gt;"",'Your debts'!$F$12&lt;&gt;"",'Your debts'!$F$8&lt;'Your debts'!$F$12),R105,0)+IF(AND('Your debts'!$F$9&lt;&gt;"",'Your debts'!$F$12&lt;&gt;"",'Your debts'!$F$9&lt;'Your debts'!$F$12),W105,0)+IF(AND('Your debts'!$F$10&lt;&gt;"",'Your debts'!$F$12&lt;&gt;"",'Your debts'!$F$10&lt;'Your debts'!$F$12),AB105,0)+IF(AND('Your debts'!$F$11&lt;&gt;"",'Your debts'!$F$12&lt;&gt;"",'Your debts'!$F$11&lt;'Your debts'!$F$12),AG105,0)+IF(AND('Your debts'!$F$13&lt;&gt;"",'Your debts'!$F$12&lt;&gt;"",'Your debts'!$F$13&lt;'Your debts'!$F$12),AQ105,0)+IF(AND('Your debts'!$F$14&lt;&gt;"",'Your debts'!$F$12&lt;&gt;"",'Your debts'!$F$14&lt;'Your debts'!$F$12),AV105,0)+IF(AND('Your debts'!$F$15&lt;&gt;"",'Your debts'!$F$12&lt;&gt;"",'Your debts'!$F$15&lt;'Your debts'!$F$12),BA105,0)))))</f>
        <v/>
      </c>
      <c r="AN105" s="33">
        <f>AL105-AM105</f>
        <v/>
      </c>
      <c r="AO105" s="33">
        <f>IF(AS104&lt;=0,0,ROUND(AS104*(1+'Your debts'!$D$13/1200),2))</f>
        <v/>
      </c>
      <c r="AP105" s="33">
        <f>IF(AO105&lt;=0,0,MIN('Your debts'!$E$13,AO105))</f>
        <v/>
      </c>
      <c r="AQ105" s="33">
        <f>AO105-AP105</f>
        <v/>
      </c>
      <c r="AR105" s="33">
        <f>IF('Your debts'!$F$13="",0,MIN(AQ105,MAX(0,MAX(0,'Your debts'!$C$19-(G105+L105+Q105+V105+AA105+AF105+AK105+AP105+AU105+AZ105))-(IF(AND('Your debts'!$F$6&lt;&gt;"",'Your debts'!$F$13&lt;&gt;"",'Your debts'!$F$6&lt;'Your debts'!$F$13),H105,0)+IF(AND('Your debts'!$F$7&lt;&gt;"",'Your debts'!$F$13&lt;&gt;"",'Your debts'!$F$7&lt;'Your debts'!$F$13),M105,0)+IF(AND('Your debts'!$F$8&lt;&gt;"",'Your debts'!$F$13&lt;&gt;"",'Your debts'!$F$8&lt;'Your debts'!$F$13),R105,0)+IF(AND('Your debts'!$F$9&lt;&gt;"",'Your debts'!$F$13&lt;&gt;"",'Your debts'!$F$9&lt;'Your debts'!$F$13),W105,0)+IF(AND('Your debts'!$F$10&lt;&gt;"",'Your debts'!$F$13&lt;&gt;"",'Your debts'!$F$10&lt;'Your debts'!$F$13),AB105,0)+IF(AND('Your debts'!$F$11&lt;&gt;"",'Your debts'!$F$13&lt;&gt;"",'Your debts'!$F$11&lt;'Your debts'!$F$13),AG105,0)+IF(AND('Your debts'!$F$12&lt;&gt;"",'Your debts'!$F$13&lt;&gt;"",'Your debts'!$F$12&lt;'Your debts'!$F$13),AL105,0)+IF(AND('Your debts'!$F$14&lt;&gt;"",'Your debts'!$F$13&lt;&gt;"",'Your debts'!$F$14&lt;'Your debts'!$F$13),AV105,0)+IF(AND('Your debts'!$F$15&lt;&gt;"",'Your debts'!$F$13&lt;&gt;"",'Your debts'!$F$15&lt;'Your debts'!$F$13),BA105,0)))))</f>
        <v/>
      </c>
      <c r="AS105" s="33">
        <f>AQ105-AR105</f>
        <v/>
      </c>
      <c r="AT105" s="33">
        <f>IF(AX104&lt;=0,0,ROUND(AX104*(1+'Your debts'!$D$14/1200),2))</f>
        <v/>
      </c>
      <c r="AU105" s="33">
        <f>IF(AT105&lt;=0,0,MIN('Your debts'!$E$14,AT105))</f>
        <v/>
      </c>
      <c r="AV105" s="33">
        <f>AT105-AU105</f>
        <v/>
      </c>
      <c r="AW105" s="33">
        <f>IF('Your debts'!$F$14="",0,MIN(AV105,MAX(0,MAX(0,'Your debts'!$C$19-(G105+L105+Q105+V105+AA105+AF105+AK105+AP105+AU105+AZ105))-(IF(AND('Your debts'!$F$6&lt;&gt;"",'Your debts'!$F$14&lt;&gt;"",'Your debts'!$F$6&lt;'Your debts'!$F$14),H105,0)+IF(AND('Your debts'!$F$7&lt;&gt;"",'Your debts'!$F$14&lt;&gt;"",'Your debts'!$F$7&lt;'Your debts'!$F$14),M105,0)+IF(AND('Your debts'!$F$8&lt;&gt;"",'Your debts'!$F$14&lt;&gt;"",'Your debts'!$F$8&lt;'Your debts'!$F$14),R105,0)+IF(AND('Your debts'!$F$9&lt;&gt;"",'Your debts'!$F$14&lt;&gt;"",'Your debts'!$F$9&lt;'Your debts'!$F$14),W105,0)+IF(AND('Your debts'!$F$10&lt;&gt;"",'Your debts'!$F$14&lt;&gt;"",'Your debts'!$F$10&lt;'Your debts'!$F$14),AB105,0)+IF(AND('Your debts'!$F$11&lt;&gt;"",'Your debts'!$F$14&lt;&gt;"",'Your debts'!$F$11&lt;'Your debts'!$F$14),AG105,0)+IF(AND('Your debts'!$F$12&lt;&gt;"",'Your debts'!$F$14&lt;&gt;"",'Your debts'!$F$12&lt;'Your debts'!$F$14),AL105,0)+IF(AND('Your debts'!$F$13&lt;&gt;"",'Your debts'!$F$14&lt;&gt;"",'Your debts'!$F$13&lt;'Your debts'!$F$14),AQ105,0)+IF(AND('Your debts'!$F$15&lt;&gt;"",'Your debts'!$F$14&lt;&gt;"",'Your debts'!$F$15&lt;'Your debts'!$F$14),BA105,0)))))</f>
        <v/>
      </c>
      <c r="AX105" s="33">
        <f>AV105-AW105</f>
        <v/>
      </c>
      <c r="AY105" s="33">
        <f>IF(BC104&lt;=0,0,ROUND(BC104*(1+'Your debts'!$D$15/1200),2))</f>
        <v/>
      </c>
      <c r="AZ105" s="33">
        <f>IF(AY105&lt;=0,0,MIN('Your debts'!$E$15,AY105))</f>
        <v/>
      </c>
      <c r="BA105" s="33">
        <f>AY105-AZ105</f>
        <v/>
      </c>
      <c r="BB105" s="33">
        <f>IF('Your debts'!$F$15="",0,MIN(BA105,MAX(0,MAX(0,'Your debts'!$C$19-(G105+L105+Q105+V105+AA105+AF105+AK105+AP105+AU105+AZ105))-(IF(AND('Your debts'!$F$6&lt;&gt;"",'Your debts'!$F$15&lt;&gt;"",'Your debts'!$F$6&lt;'Your debts'!$F$15),H105,0)+IF(AND('Your debts'!$F$7&lt;&gt;"",'Your debts'!$F$15&lt;&gt;"",'Your debts'!$F$7&lt;'Your debts'!$F$15),M105,0)+IF(AND('Your debts'!$F$8&lt;&gt;"",'Your debts'!$F$15&lt;&gt;"",'Your debts'!$F$8&lt;'Your debts'!$F$15),R105,0)+IF(AND('Your debts'!$F$9&lt;&gt;"",'Your debts'!$F$15&lt;&gt;"",'Your debts'!$F$9&lt;'Your debts'!$F$15),W105,0)+IF(AND('Your debts'!$F$10&lt;&gt;"",'Your debts'!$F$15&lt;&gt;"",'Your debts'!$F$10&lt;'Your debts'!$F$15),AB105,0)+IF(AND('Your debts'!$F$11&lt;&gt;"",'Your debts'!$F$15&lt;&gt;"",'Your debts'!$F$11&lt;'Your debts'!$F$15),AG105,0)+IF(AND('Your debts'!$F$12&lt;&gt;"",'Your debts'!$F$15&lt;&gt;"",'Your debts'!$F$12&lt;'Your debts'!$F$15),AL105,0)+IF(AND('Your debts'!$F$13&lt;&gt;"",'Your debts'!$F$15&lt;&gt;"",'Your debts'!$F$13&lt;'Your debts'!$F$15),AQ105,0)+IF(AND('Your debts'!$F$14&lt;&gt;"",'Your debts'!$F$15&lt;&gt;"",'Your debts'!$F$14&lt;'Your debts'!$F$15),AV105,0)))))</f>
        <v/>
      </c>
      <c r="BC105" s="33">
        <f>BA105-BB105</f>
        <v/>
      </c>
    </row>
    <row r="106">
      <c r="A106" s="30" t="n">
        <v>91</v>
      </c>
      <c r="B106" s="31">
        <f>EDATE($B$15,91)</f>
        <v/>
      </c>
      <c r="C106" s="32">
        <f>IF(J105&lt;=0,0,F106-J105)+IF(O105&lt;=0,0,K106-O105)+IF(T105&lt;=0,0,P106-T105)+IF(Y105&lt;=0,0,U106-Y105)+IF(AD105&lt;=0,0,Z106-AD105)+IF(AI105&lt;=0,0,AE106-AI105)+IF(AN105&lt;=0,0,AJ106-AN105)+IF(AS105&lt;=0,0,AO106-AS105)+IF(AX105&lt;=0,0,AT106-AX105)+IF(BC105&lt;=0,0,AY106-BC105)</f>
        <v/>
      </c>
      <c r="D106" s="32">
        <f>G106+I106+L106+N106+Q106+S106+V106+X106+AA106+AC106+AF106+AH106+AK106+AM106+AP106+AR106+AU106+AW106+AZ106+BB106</f>
        <v/>
      </c>
      <c r="E106" s="32">
        <f>J106+O106+T106+Y106+AD106+AI106+AN106+AS106+AX106+BC106</f>
        <v/>
      </c>
      <c r="F106" s="33">
        <f>IF(J105&lt;=0,0,ROUND(J105*(1+'Your debts'!$D$6/1200),2))</f>
        <v/>
      </c>
      <c r="G106" s="33">
        <f>IF(F106&lt;=0,0,MIN('Your debts'!$E$6,F106))</f>
        <v/>
      </c>
      <c r="H106" s="33">
        <f>F106-G106</f>
        <v/>
      </c>
      <c r="I106" s="33">
        <f>IF('Your debts'!$F$6="",0,MIN(H106,MAX(0,MAX(0,'Your debts'!$C$19-(G106+L106+Q106+V106+AA106+AF106+AK106+AP106+AU106+AZ106))-(IF(AND('Your debts'!$F$7&lt;&gt;"",'Your debts'!$F$6&lt;&gt;"",'Your debts'!$F$7&lt;'Your debts'!$F$6),M106,0)+IF(AND('Your debts'!$F$8&lt;&gt;"",'Your debts'!$F$6&lt;&gt;"",'Your debts'!$F$8&lt;'Your debts'!$F$6),R106,0)+IF(AND('Your debts'!$F$9&lt;&gt;"",'Your debts'!$F$6&lt;&gt;"",'Your debts'!$F$9&lt;'Your debts'!$F$6),W106,0)+IF(AND('Your debts'!$F$10&lt;&gt;"",'Your debts'!$F$6&lt;&gt;"",'Your debts'!$F$10&lt;'Your debts'!$F$6),AB106,0)+IF(AND('Your debts'!$F$11&lt;&gt;"",'Your debts'!$F$6&lt;&gt;"",'Your debts'!$F$11&lt;'Your debts'!$F$6),AG106,0)+IF(AND('Your debts'!$F$12&lt;&gt;"",'Your debts'!$F$6&lt;&gt;"",'Your debts'!$F$12&lt;'Your debts'!$F$6),AL106,0)+IF(AND('Your debts'!$F$13&lt;&gt;"",'Your debts'!$F$6&lt;&gt;"",'Your debts'!$F$13&lt;'Your debts'!$F$6),AQ106,0)+IF(AND('Your debts'!$F$14&lt;&gt;"",'Your debts'!$F$6&lt;&gt;"",'Your debts'!$F$14&lt;'Your debts'!$F$6),AV106,0)+IF(AND('Your debts'!$F$15&lt;&gt;"",'Your debts'!$F$6&lt;&gt;"",'Your debts'!$F$15&lt;'Your debts'!$F$6),BA106,0)))))</f>
        <v/>
      </c>
      <c r="J106" s="33">
        <f>H106-I106</f>
        <v/>
      </c>
      <c r="K106" s="33">
        <f>IF(O105&lt;=0,0,ROUND(O105*(1+'Your debts'!$D$7/1200),2))</f>
        <v/>
      </c>
      <c r="L106" s="33">
        <f>IF(K106&lt;=0,0,MIN('Your debts'!$E$7,K106))</f>
        <v/>
      </c>
      <c r="M106" s="33">
        <f>K106-L106</f>
        <v/>
      </c>
      <c r="N106" s="33">
        <f>IF('Your debts'!$F$7="",0,MIN(M106,MAX(0,MAX(0,'Your debts'!$C$19-(G106+L106+Q106+V106+AA106+AF106+AK106+AP106+AU106+AZ106))-(IF(AND('Your debts'!$F$6&lt;&gt;"",'Your debts'!$F$7&lt;&gt;"",'Your debts'!$F$6&lt;'Your debts'!$F$7),H106,0)+IF(AND('Your debts'!$F$8&lt;&gt;"",'Your debts'!$F$7&lt;&gt;"",'Your debts'!$F$8&lt;'Your debts'!$F$7),R106,0)+IF(AND('Your debts'!$F$9&lt;&gt;"",'Your debts'!$F$7&lt;&gt;"",'Your debts'!$F$9&lt;'Your debts'!$F$7),W106,0)+IF(AND('Your debts'!$F$10&lt;&gt;"",'Your debts'!$F$7&lt;&gt;"",'Your debts'!$F$10&lt;'Your debts'!$F$7),AB106,0)+IF(AND('Your debts'!$F$11&lt;&gt;"",'Your debts'!$F$7&lt;&gt;"",'Your debts'!$F$11&lt;'Your debts'!$F$7),AG106,0)+IF(AND('Your debts'!$F$12&lt;&gt;"",'Your debts'!$F$7&lt;&gt;"",'Your debts'!$F$12&lt;'Your debts'!$F$7),AL106,0)+IF(AND('Your debts'!$F$13&lt;&gt;"",'Your debts'!$F$7&lt;&gt;"",'Your debts'!$F$13&lt;'Your debts'!$F$7),AQ106,0)+IF(AND('Your debts'!$F$14&lt;&gt;"",'Your debts'!$F$7&lt;&gt;"",'Your debts'!$F$14&lt;'Your debts'!$F$7),AV106,0)+IF(AND('Your debts'!$F$15&lt;&gt;"",'Your debts'!$F$7&lt;&gt;"",'Your debts'!$F$15&lt;'Your debts'!$F$7),BA106,0)))))</f>
        <v/>
      </c>
      <c r="O106" s="33">
        <f>M106-N106</f>
        <v/>
      </c>
      <c r="P106" s="33">
        <f>IF(T105&lt;=0,0,ROUND(T105*(1+'Your debts'!$D$8/1200),2))</f>
        <v/>
      </c>
      <c r="Q106" s="33">
        <f>IF(P106&lt;=0,0,MIN('Your debts'!$E$8,P106))</f>
        <v/>
      </c>
      <c r="R106" s="33">
        <f>P106-Q106</f>
        <v/>
      </c>
      <c r="S106" s="33">
        <f>IF('Your debts'!$F$8="",0,MIN(R106,MAX(0,MAX(0,'Your debts'!$C$19-(G106+L106+Q106+V106+AA106+AF106+AK106+AP106+AU106+AZ106))-(IF(AND('Your debts'!$F$6&lt;&gt;"",'Your debts'!$F$8&lt;&gt;"",'Your debts'!$F$6&lt;'Your debts'!$F$8),H106,0)+IF(AND('Your debts'!$F$7&lt;&gt;"",'Your debts'!$F$8&lt;&gt;"",'Your debts'!$F$7&lt;'Your debts'!$F$8),M106,0)+IF(AND('Your debts'!$F$9&lt;&gt;"",'Your debts'!$F$8&lt;&gt;"",'Your debts'!$F$9&lt;'Your debts'!$F$8),W106,0)+IF(AND('Your debts'!$F$10&lt;&gt;"",'Your debts'!$F$8&lt;&gt;"",'Your debts'!$F$10&lt;'Your debts'!$F$8),AB106,0)+IF(AND('Your debts'!$F$11&lt;&gt;"",'Your debts'!$F$8&lt;&gt;"",'Your debts'!$F$11&lt;'Your debts'!$F$8),AG106,0)+IF(AND('Your debts'!$F$12&lt;&gt;"",'Your debts'!$F$8&lt;&gt;"",'Your debts'!$F$12&lt;'Your debts'!$F$8),AL106,0)+IF(AND('Your debts'!$F$13&lt;&gt;"",'Your debts'!$F$8&lt;&gt;"",'Your debts'!$F$13&lt;'Your debts'!$F$8),AQ106,0)+IF(AND('Your debts'!$F$14&lt;&gt;"",'Your debts'!$F$8&lt;&gt;"",'Your debts'!$F$14&lt;'Your debts'!$F$8),AV106,0)+IF(AND('Your debts'!$F$15&lt;&gt;"",'Your debts'!$F$8&lt;&gt;"",'Your debts'!$F$15&lt;'Your debts'!$F$8),BA106,0)))))</f>
        <v/>
      </c>
      <c r="T106" s="33">
        <f>R106-S106</f>
        <v/>
      </c>
      <c r="U106" s="33">
        <f>IF(Y105&lt;=0,0,ROUND(Y105*(1+'Your debts'!$D$9/1200),2))</f>
        <v/>
      </c>
      <c r="V106" s="33">
        <f>IF(U106&lt;=0,0,MIN('Your debts'!$E$9,U106))</f>
        <v/>
      </c>
      <c r="W106" s="33">
        <f>U106-V106</f>
        <v/>
      </c>
      <c r="X106" s="33">
        <f>IF('Your debts'!$F$9="",0,MIN(W106,MAX(0,MAX(0,'Your debts'!$C$19-(G106+L106+Q106+V106+AA106+AF106+AK106+AP106+AU106+AZ106))-(IF(AND('Your debts'!$F$6&lt;&gt;"",'Your debts'!$F$9&lt;&gt;"",'Your debts'!$F$6&lt;'Your debts'!$F$9),H106,0)+IF(AND('Your debts'!$F$7&lt;&gt;"",'Your debts'!$F$9&lt;&gt;"",'Your debts'!$F$7&lt;'Your debts'!$F$9),M106,0)+IF(AND('Your debts'!$F$8&lt;&gt;"",'Your debts'!$F$9&lt;&gt;"",'Your debts'!$F$8&lt;'Your debts'!$F$9),R106,0)+IF(AND('Your debts'!$F$10&lt;&gt;"",'Your debts'!$F$9&lt;&gt;"",'Your debts'!$F$10&lt;'Your debts'!$F$9),AB106,0)+IF(AND('Your debts'!$F$11&lt;&gt;"",'Your debts'!$F$9&lt;&gt;"",'Your debts'!$F$11&lt;'Your debts'!$F$9),AG106,0)+IF(AND('Your debts'!$F$12&lt;&gt;"",'Your debts'!$F$9&lt;&gt;"",'Your debts'!$F$12&lt;'Your debts'!$F$9),AL106,0)+IF(AND('Your debts'!$F$13&lt;&gt;"",'Your debts'!$F$9&lt;&gt;"",'Your debts'!$F$13&lt;'Your debts'!$F$9),AQ106,0)+IF(AND('Your debts'!$F$14&lt;&gt;"",'Your debts'!$F$9&lt;&gt;"",'Your debts'!$F$14&lt;'Your debts'!$F$9),AV106,0)+IF(AND('Your debts'!$F$15&lt;&gt;"",'Your debts'!$F$9&lt;&gt;"",'Your debts'!$F$15&lt;'Your debts'!$F$9),BA106,0)))))</f>
        <v/>
      </c>
      <c r="Y106" s="33">
        <f>W106-X106</f>
        <v/>
      </c>
      <c r="Z106" s="33">
        <f>IF(AD105&lt;=0,0,ROUND(AD105*(1+'Your debts'!$D$10/1200),2))</f>
        <v/>
      </c>
      <c r="AA106" s="33">
        <f>IF(Z106&lt;=0,0,MIN('Your debts'!$E$10,Z106))</f>
        <v/>
      </c>
      <c r="AB106" s="33">
        <f>Z106-AA106</f>
        <v/>
      </c>
      <c r="AC106" s="33">
        <f>IF('Your debts'!$F$10="",0,MIN(AB106,MAX(0,MAX(0,'Your debts'!$C$19-(G106+L106+Q106+V106+AA106+AF106+AK106+AP106+AU106+AZ106))-(IF(AND('Your debts'!$F$6&lt;&gt;"",'Your debts'!$F$10&lt;&gt;"",'Your debts'!$F$6&lt;'Your debts'!$F$10),H106,0)+IF(AND('Your debts'!$F$7&lt;&gt;"",'Your debts'!$F$10&lt;&gt;"",'Your debts'!$F$7&lt;'Your debts'!$F$10),M106,0)+IF(AND('Your debts'!$F$8&lt;&gt;"",'Your debts'!$F$10&lt;&gt;"",'Your debts'!$F$8&lt;'Your debts'!$F$10),R106,0)+IF(AND('Your debts'!$F$9&lt;&gt;"",'Your debts'!$F$10&lt;&gt;"",'Your debts'!$F$9&lt;'Your debts'!$F$10),W106,0)+IF(AND('Your debts'!$F$11&lt;&gt;"",'Your debts'!$F$10&lt;&gt;"",'Your debts'!$F$11&lt;'Your debts'!$F$10),AG106,0)+IF(AND('Your debts'!$F$12&lt;&gt;"",'Your debts'!$F$10&lt;&gt;"",'Your debts'!$F$12&lt;'Your debts'!$F$10),AL106,0)+IF(AND('Your debts'!$F$13&lt;&gt;"",'Your debts'!$F$10&lt;&gt;"",'Your debts'!$F$13&lt;'Your debts'!$F$10),AQ106,0)+IF(AND('Your debts'!$F$14&lt;&gt;"",'Your debts'!$F$10&lt;&gt;"",'Your debts'!$F$14&lt;'Your debts'!$F$10),AV106,0)+IF(AND('Your debts'!$F$15&lt;&gt;"",'Your debts'!$F$10&lt;&gt;"",'Your debts'!$F$15&lt;'Your debts'!$F$10),BA106,0)))))</f>
        <v/>
      </c>
      <c r="AD106" s="33">
        <f>AB106-AC106</f>
        <v/>
      </c>
      <c r="AE106" s="33">
        <f>IF(AI105&lt;=0,0,ROUND(AI105*(1+'Your debts'!$D$11/1200),2))</f>
        <v/>
      </c>
      <c r="AF106" s="33">
        <f>IF(AE106&lt;=0,0,MIN('Your debts'!$E$11,AE106))</f>
        <v/>
      </c>
      <c r="AG106" s="33">
        <f>AE106-AF106</f>
        <v/>
      </c>
      <c r="AH106" s="33">
        <f>IF('Your debts'!$F$11="",0,MIN(AG106,MAX(0,MAX(0,'Your debts'!$C$19-(G106+L106+Q106+V106+AA106+AF106+AK106+AP106+AU106+AZ106))-(IF(AND('Your debts'!$F$6&lt;&gt;"",'Your debts'!$F$11&lt;&gt;"",'Your debts'!$F$6&lt;'Your debts'!$F$11),H106,0)+IF(AND('Your debts'!$F$7&lt;&gt;"",'Your debts'!$F$11&lt;&gt;"",'Your debts'!$F$7&lt;'Your debts'!$F$11),M106,0)+IF(AND('Your debts'!$F$8&lt;&gt;"",'Your debts'!$F$11&lt;&gt;"",'Your debts'!$F$8&lt;'Your debts'!$F$11),R106,0)+IF(AND('Your debts'!$F$9&lt;&gt;"",'Your debts'!$F$11&lt;&gt;"",'Your debts'!$F$9&lt;'Your debts'!$F$11),W106,0)+IF(AND('Your debts'!$F$10&lt;&gt;"",'Your debts'!$F$11&lt;&gt;"",'Your debts'!$F$10&lt;'Your debts'!$F$11),AB106,0)+IF(AND('Your debts'!$F$12&lt;&gt;"",'Your debts'!$F$11&lt;&gt;"",'Your debts'!$F$12&lt;'Your debts'!$F$11),AL106,0)+IF(AND('Your debts'!$F$13&lt;&gt;"",'Your debts'!$F$11&lt;&gt;"",'Your debts'!$F$13&lt;'Your debts'!$F$11),AQ106,0)+IF(AND('Your debts'!$F$14&lt;&gt;"",'Your debts'!$F$11&lt;&gt;"",'Your debts'!$F$14&lt;'Your debts'!$F$11),AV106,0)+IF(AND('Your debts'!$F$15&lt;&gt;"",'Your debts'!$F$11&lt;&gt;"",'Your debts'!$F$15&lt;'Your debts'!$F$11),BA106,0)))))</f>
        <v/>
      </c>
      <c r="AI106" s="33">
        <f>AG106-AH106</f>
        <v/>
      </c>
      <c r="AJ106" s="33">
        <f>IF(AN105&lt;=0,0,ROUND(AN105*(1+'Your debts'!$D$12/1200),2))</f>
        <v/>
      </c>
      <c r="AK106" s="33">
        <f>IF(AJ106&lt;=0,0,MIN('Your debts'!$E$12,AJ106))</f>
        <v/>
      </c>
      <c r="AL106" s="33">
        <f>AJ106-AK106</f>
        <v/>
      </c>
      <c r="AM106" s="33">
        <f>IF('Your debts'!$F$12="",0,MIN(AL106,MAX(0,MAX(0,'Your debts'!$C$19-(G106+L106+Q106+V106+AA106+AF106+AK106+AP106+AU106+AZ106))-(IF(AND('Your debts'!$F$6&lt;&gt;"",'Your debts'!$F$12&lt;&gt;"",'Your debts'!$F$6&lt;'Your debts'!$F$12),H106,0)+IF(AND('Your debts'!$F$7&lt;&gt;"",'Your debts'!$F$12&lt;&gt;"",'Your debts'!$F$7&lt;'Your debts'!$F$12),M106,0)+IF(AND('Your debts'!$F$8&lt;&gt;"",'Your debts'!$F$12&lt;&gt;"",'Your debts'!$F$8&lt;'Your debts'!$F$12),R106,0)+IF(AND('Your debts'!$F$9&lt;&gt;"",'Your debts'!$F$12&lt;&gt;"",'Your debts'!$F$9&lt;'Your debts'!$F$12),W106,0)+IF(AND('Your debts'!$F$10&lt;&gt;"",'Your debts'!$F$12&lt;&gt;"",'Your debts'!$F$10&lt;'Your debts'!$F$12),AB106,0)+IF(AND('Your debts'!$F$11&lt;&gt;"",'Your debts'!$F$12&lt;&gt;"",'Your debts'!$F$11&lt;'Your debts'!$F$12),AG106,0)+IF(AND('Your debts'!$F$13&lt;&gt;"",'Your debts'!$F$12&lt;&gt;"",'Your debts'!$F$13&lt;'Your debts'!$F$12),AQ106,0)+IF(AND('Your debts'!$F$14&lt;&gt;"",'Your debts'!$F$12&lt;&gt;"",'Your debts'!$F$14&lt;'Your debts'!$F$12),AV106,0)+IF(AND('Your debts'!$F$15&lt;&gt;"",'Your debts'!$F$12&lt;&gt;"",'Your debts'!$F$15&lt;'Your debts'!$F$12),BA106,0)))))</f>
        <v/>
      </c>
      <c r="AN106" s="33">
        <f>AL106-AM106</f>
        <v/>
      </c>
      <c r="AO106" s="33">
        <f>IF(AS105&lt;=0,0,ROUND(AS105*(1+'Your debts'!$D$13/1200),2))</f>
        <v/>
      </c>
      <c r="AP106" s="33">
        <f>IF(AO106&lt;=0,0,MIN('Your debts'!$E$13,AO106))</f>
        <v/>
      </c>
      <c r="AQ106" s="33">
        <f>AO106-AP106</f>
        <v/>
      </c>
      <c r="AR106" s="33">
        <f>IF('Your debts'!$F$13="",0,MIN(AQ106,MAX(0,MAX(0,'Your debts'!$C$19-(G106+L106+Q106+V106+AA106+AF106+AK106+AP106+AU106+AZ106))-(IF(AND('Your debts'!$F$6&lt;&gt;"",'Your debts'!$F$13&lt;&gt;"",'Your debts'!$F$6&lt;'Your debts'!$F$13),H106,0)+IF(AND('Your debts'!$F$7&lt;&gt;"",'Your debts'!$F$13&lt;&gt;"",'Your debts'!$F$7&lt;'Your debts'!$F$13),M106,0)+IF(AND('Your debts'!$F$8&lt;&gt;"",'Your debts'!$F$13&lt;&gt;"",'Your debts'!$F$8&lt;'Your debts'!$F$13),R106,0)+IF(AND('Your debts'!$F$9&lt;&gt;"",'Your debts'!$F$13&lt;&gt;"",'Your debts'!$F$9&lt;'Your debts'!$F$13),W106,0)+IF(AND('Your debts'!$F$10&lt;&gt;"",'Your debts'!$F$13&lt;&gt;"",'Your debts'!$F$10&lt;'Your debts'!$F$13),AB106,0)+IF(AND('Your debts'!$F$11&lt;&gt;"",'Your debts'!$F$13&lt;&gt;"",'Your debts'!$F$11&lt;'Your debts'!$F$13),AG106,0)+IF(AND('Your debts'!$F$12&lt;&gt;"",'Your debts'!$F$13&lt;&gt;"",'Your debts'!$F$12&lt;'Your debts'!$F$13),AL106,0)+IF(AND('Your debts'!$F$14&lt;&gt;"",'Your debts'!$F$13&lt;&gt;"",'Your debts'!$F$14&lt;'Your debts'!$F$13),AV106,0)+IF(AND('Your debts'!$F$15&lt;&gt;"",'Your debts'!$F$13&lt;&gt;"",'Your debts'!$F$15&lt;'Your debts'!$F$13),BA106,0)))))</f>
        <v/>
      </c>
      <c r="AS106" s="33">
        <f>AQ106-AR106</f>
        <v/>
      </c>
      <c r="AT106" s="33">
        <f>IF(AX105&lt;=0,0,ROUND(AX105*(1+'Your debts'!$D$14/1200),2))</f>
        <v/>
      </c>
      <c r="AU106" s="33">
        <f>IF(AT106&lt;=0,0,MIN('Your debts'!$E$14,AT106))</f>
        <v/>
      </c>
      <c r="AV106" s="33">
        <f>AT106-AU106</f>
        <v/>
      </c>
      <c r="AW106" s="33">
        <f>IF('Your debts'!$F$14="",0,MIN(AV106,MAX(0,MAX(0,'Your debts'!$C$19-(G106+L106+Q106+V106+AA106+AF106+AK106+AP106+AU106+AZ106))-(IF(AND('Your debts'!$F$6&lt;&gt;"",'Your debts'!$F$14&lt;&gt;"",'Your debts'!$F$6&lt;'Your debts'!$F$14),H106,0)+IF(AND('Your debts'!$F$7&lt;&gt;"",'Your debts'!$F$14&lt;&gt;"",'Your debts'!$F$7&lt;'Your debts'!$F$14),M106,0)+IF(AND('Your debts'!$F$8&lt;&gt;"",'Your debts'!$F$14&lt;&gt;"",'Your debts'!$F$8&lt;'Your debts'!$F$14),R106,0)+IF(AND('Your debts'!$F$9&lt;&gt;"",'Your debts'!$F$14&lt;&gt;"",'Your debts'!$F$9&lt;'Your debts'!$F$14),W106,0)+IF(AND('Your debts'!$F$10&lt;&gt;"",'Your debts'!$F$14&lt;&gt;"",'Your debts'!$F$10&lt;'Your debts'!$F$14),AB106,0)+IF(AND('Your debts'!$F$11&lt;&gt;"",'Your debts'!$F$14&lt;&gt;"",'Your debts'!$F$11&lt;'Your debts'!$F$14),AG106,0)+IF(AND('Your debts'!$F$12&lt;&gt;"",'Your debts'!$F$14&lt;&gt;"",'Your debts'!$F$12&lt;'Your debts'!$F$14),AL106,0)+IF(AND('Your debts'!$F$13&lt;&gt;"",'Your debts'!$F$14&lt;&gt;"",'Your debts'!$F$13&lt;'Your debts'!$F$14),AQ106,0)+IF(AND('Your debts'!$F$15&lt;&gt;"",'Your debts'!$F$14&lt;&gt;"",'Your debts'!$F$15&lt;'Your debts'!$F$14),BA106,0)))))</f>
        <v/>
      </c>
      <c r="AX106" s="33">
        <f>AV106-AW106</f>
        <v/>
      </c>
      <c r="AY106" s="33">
        <f>IF(BC105&lt;=0,0,ROUND(BC105*(1+'Your debts'!$D$15/1200),2))</f>
        <v/>
      </c>
      <c r="AZ106" s="33">
        <f>IF(AY106&lt;=0,0,MIN('Your debts'!$E$15,AY106))</f>
        <v/>
      </c>
      <c r="BA106" s="33">
        <f>AY106-AZ106</f>
        <v/>
      </c>
      <c r="BB106" s="33">
        <f>IF('Your debts'!$F$15="",0,MIN(BA106,MAX(0,MAX(0,'Your debts'!$C$19-(G106+L106+Q106+V106+AA106+AF106+AK106+AP106+AU106+AZ106))-(IF(AND('Your debts'!$F$6&lt;&gt;"",'Your debts'!$F$15&lt;&gt;"",'Your debts'!$F$6&lt;'Your debts'!$F$15),H106,0)+IF(AND('Your debts'!$F$7&lt;&gt;"",'Your debts'!$F$15&lt;&gt;"",'Your debts'!$F$7&lt;'Your debts'!$F$15),M106,0)+IF(AND('Your debts'!$F$8&lt;&gt;"",'Your debts'!$F$15&lt;&gt;"",'Your debts'!$F$8&lt;'Your debts'!$F$15),R106,0)+IF(AND('Your debts'!$F$9&lt;&gt;"",'Your debts'!$F$15&lt;&gt;"",'Your debts'!$F$9&lt;'Your debts'!$F$15),W106,0)+IF(AND('Your debts'!$F$10&lt;&gt;"",'Your debts'!$F$15&lt;&gt;"",'Your debts'!$F$10&lt;'Your debts'!$F$15),AB106,0)+IF(AND('Your debts'!$F$11&lt;&gt;"",'Your debts'!$F$15&lt;&gt;"",'Your debts'!$F$11&lt;'Your debts'!$F$15),AG106,0)+IF(AND('Your debts'!$F$12&lt;&gt;"",'Your debts'!$F$15&lt;&gt;"",'Your debts'!$F$12&lt;'Your debts'!$F$15),AL106,0)+IF(AND('Your debts'!$F$13&lt;&gt;"",'Your debts'!$F$15&lt;&gt;"",'Your debts'!$F$13&lt;'Your debts'!$F$15),AQ106,0)+IF(AND('Your debts'!$F$14&lt;&gt;"",'Your debts'!$F$15&lt;&gt;"",'Your debts'!$F$14&lt;'Your debts'!$F$15),AV106,0)))))</f>
        <v/>
      </c>
      <c r="BC106" s="33">
        <f>BA106-BB106</f>
        <v/>
      </c>
    </row>
    <row r="107">
      <c r="A107" s="30" t="n">
        <v>92</v>
      </c>
      <c r="B107" s="31">
        <f>EDATE($B$15,92)</f>
        <v/>
      </c>
      <c r="C107" s="32">
        <f>IF(J106&lt;=0,0,F107-J106)+IF(O106&lt;=0,0,K107-O106)+IF(T106&lt;=0,0,P107-T106)+IF(Y106&lt;=0,0,U107-Y106)+IF(AD106&lt;=0,0,Z107-AD106)+IF(AI106&lt;=0,0,AE107-AI106)+IF(AN106&lt;=0,0,AJ107-AN106)+IF(AS106&lt;=0,0,AO107-AS106)+IF(AX106&lt;=0,0,AT107-AX106)+IF(BC106&lt;=0,0,AY107-BC106)</f>
        <v/>
      </c>
      <c r="D107" s="32">
        <f>G107+I107+L107+N107+Q107+S107+V107+X107+AA107+AC107+AF107+AH107+AK107+AM107+AP107+AR107+AU107+AW107+AZ107+BB107</f>
        <v/>
      </c>
      <c r="E107" s="32">
        <f>J107+O107+T107+Y107+AD107+AI107+AN107+AS107+AX107+BC107</f>
        <v/>
      </c>
      <c r="F107" s="33">
        <f>IF(J106&lt;=0,0,ROUND(J106*(1+'Your debts'!$D$6/1200),2))</f>
        <v/>
      </c>
      <c r="G107" s="33">
        <f>IF(F107&lt;=0,0,MIN('Your debts'!$E$6,F107))</f>
        <v/>
      </c>
      <c r="H107" s="33">
        <f>F107-G107</f>
        <v/>
      </c>
      <c r="I107" s="33">
        <f>IF('Your debts'!$F$6="",0,MIN(H107,MAX(0,MAX(0,'Your debts'!$C$19-(G107+L107+Q107+V107+AA107+AF107+AK107+AP107+AU107+AZ107))-(IF(AND('Your debts'!$F$7&lt;&gt;"",'Your debts'!$F$6&lt;&gt;"",'Your debts'!$F$7&lt;'Your debts'!$F$6),M107,0)+IF(AND('Your debts'!$F$8&lt;&gt;"",'Your debts'!$F$6&lt;&gt;"",'Your debts'!$F$8&lt;'Your debts'!$F$6),R107,0)+IF(AND('Your debts'!$F$9&lt;&gt;"",'Your debts'!$F$6&lt;&gt;"",'Your debts'!$F$9&lt;'Your debts'!$F$6),W107,0)+IF(AND('Your debts'!$F$10&lt;&gt;"",'Your debts'!$F$6&lt;&gt;"",'Your debts'!$F$10&lt;'Your debts'!$F$6),AB107,0)+IF(AND('Your debts'!$F$11&lt;&gt;"",'Your debts'!$F$6&lt;&gt;"",'Your debts'!$F$11&lt;'Your debts'!$F$6),AG107,0)+IF(AND('Your debts'!$F$12&lt;&gt;"",'Your debts'!$F$6&lt;&gt;"",'Your debts'!$F$12&lt;'Your debts'!$F$6),AL107,0)+IF(AND('Your debts'!$F$13&lt;&gt;"",'Your debts'!$F$6&lt;&gt;"",'Your debts'!$F$13&lt;'Your debts'!$F$6),AQ107,0)+IF(AND('Your debts'!$F$14&lt;&gt;"",'Your debts'!$F$6&lt;&gt;"",'Your debts'!$F$14&lt;'Your debts'!$F$6),AV107,0)+IF(AND('Your debts'!$F$15&lt;&gt;"",'Your debts'!$F$6&lt;&gt;"",'Your debts'!$F$15&lt;'Your debts'!$F$6),BA107,0)))))</f>
        <v/>
      </c>
      <c r="J107" s="33">
        <f>H107-I107</f>
        <v/>
      </c>
      <c r="K107" s="33">
        <f>IF(O106&lt;=0,0,ROUND(O106*(1+'Your debts'!$D$7/1200),2))</f>
        <v/>
      </c>
      <c r="L107" s="33">
        <f>IF(K107&lt;=0,0,MIN('Your debts'!$E$7,K107))</f>
        <v/>
      </c>
      <c r="M107" s="33">
        <f>K107-L107</f>
        <v/>
      </c>
      <c r="N107" s="33">
        <f>IF('Your debts'!$F$7="",0,MIN(M107,MAX(0,MAX(0,'Your debts'!$C$19-(G107+L107+Q107+V107+AA107+AF107+AK107+AP107+AU107+AZ107))-(IF(AND('Your debts'!$F$6&lt;&gt;"",'Your debts'!$F$7&lt;&gt;"",'Your debts'!$F$6&lt;'Your debts'!$F$7),H107,0)+IF(AND('Your debts'!$F$8&lt;&gt;"",'Your debts'!$F$7&lt;&gt;"",'Your debts'!$F$8&lt;'Your debts'!$F$7),R107,0)+IF(AND('Your debts'!$F$9&lt;&gt;"",'Your debts'!$F$7&lt;&gt;"",'Your debts'!$F$9&lt;'Your debts'!$F$7),W107,0)+IF(AND('Your debts'!$F$10&lt;&gt;"",'Your debts'!$F$7&lt;&gt;"",'Your debts'!$F$10&lt;'Your debts'!$F$7),AB107,0)+IF(AND('Your debts'!$F$11&lt;&gt;"",'Your debts'!$F$7&lt;&gt;"",'Your debts'!$F$11&lt;'Your debts'!$F$7),AG107,0)+IF(AND('Your debts'!$F$12&lt;&gt;"",'Your debts'!$F$7&lt;&gt;"",'Your debts'!$F$12&lt;'Your debts'!$F$7),AL107,0)+IF(AND('Your debts'!$F$13&lt;&gt;"",'Your debts'!$F$7&lt;&gt;"",'Your debts'!$F$13&lt;'Your debts'!$F$7),AQ107,0)+IF(AND('Your debts'!$F$14&lt;&gt;"",'Your debts'!$F$7&lt;&gt;"",'Your debts'!$F$14&lt;'Your debts'!$F$7),AV107,0)+IF(AND('Your debts'!$F$15&lt;&gt;"",'Your debts'!$F$7&lt;&gt;"",'Your debts'!$F$15&lt;'Your debts'!$F$7),BA107,0)))))</f>
        <v/>
      </c>
      <c r="O107" s="33">
        <f>M107-N107</f>
        <v/>
      </c>
      <c r="P107" s="33">
        <f>IF(T106&lt;=0,0,ROUND(T106*(1+'Your debts'!$D$8/1200),2))</f>
        <v/>
      </c>
      <c r="Q107" s="33">
        <f>IF(P107&lt;=0,0,MIN('Your debts'!$E$8,P107))</f>
        <v/>
      </c>
      <c r="R107" s="33">
        <f>P107-Q107</f>
        <v/>
      </c>
      <c r="S107" s="33">
        <f>IF('Your debts'!$F$8="",0,MIN(R107,MAX(0,MAX(0,'Your debts'!$C$19-(G107+L107+Q107+V107+AA107+AF107+AK107+AP107+AU107+AZ107))-(IF(AND('Your debts'!$F$6&lt;&gt;"",'Your debts'!$F$8&lt;&gt;"",'Your debts'!$F$6&lt;'Your debts'!$F$8),H107,0)+IF(AND('Your debts'!$F$7&lt;&gt;"",'Your debts'!$F$8&lt;&gt;"",'Your debts'!$F$7&lt;'Your debts'!$F$8),M107,0)+IF(AND('Your debts'!$F$9&lt;&gt;"",'Your debts'!$F$8&lt;&gt;"",'Your debts'!$F$9&lt;'Your debts'!$F$8),W107,0)+IF(AND('Your debts'!$F$10&lt;&gt;"",'Your debts'!$F$8&lt;&gt;"",'Your debts'!$F$10&lt;'Your debts'!$F$8),AB107,0)+IF(AND('Your debts'!$F$11&lt;&gt;"",'Your debts'!$F$8&lt;&gt;"",'Your debts'!$F$11&lt;'Your debts'!$F$8),AG107,0)+IF(AND('Your debts'!$F$12&lt;&gt;"",'Your debts'!$F$8&lt;&gt;"",'Your debts'!$F$12&lt;'Your debts'!$F$8),AL107,0)+IF(AND('Your debts'!$F$13&lt;&gt;"",'Your debts'!$F$8&lt;&gt;"",'Your debts'!$F$13&lt;'Your debts'!$F$8),AQ107,0)+IF(AND('Your debts'!$F$14&lt;&gt;"",'Your debts'!$F$8&lt;&gt;"",'Your debts'!$F$14&lt;'Your debts'!$F$8),AV107,0)+IF(AND('Your debts'!$F$15&lt;&gt;"",'Your debts'!$F$8&lt;&gt;"",'Your debts'!$F$15&lt;'Your debts'!$F$8),BA107,0)))))</f>
        <v/>
      </c>
      <c r="T107" s="33">
        <f>R107-S107</f>
        <v/>
      </c>
      <c r="U107" s="33">
        <f>IF(Y106&lt;=0,0,ROUND(Y106*(1+'Your debts'!$D$9/1200),2))</f>
        <v/>
      </c>
      <c r="V107" s="33">
        <f>IF(U107&lt;=0,0,MIN('Your debts'!$E$9,U107))</f>
        <v/>
      </c>
      <c r="W107" s="33">
        <f>U107-V107</f>
        <v/>
      </c>
      <c r="X107" s="33">
        <f>IF('Your debts'!$F$9="",0,MIN(W107,MAX(0,MAX(0,'Your debts'!$C$19-(G107+L107+Q107+V107+AA107+AF107+AK107+AP107+AU107+AZ107))-(IF(AND('Your debts'!$F$6&lt;&gt;"",'Your debts'!$F$9&lt;&gt;"",'Your debts'!$F$6&lt;'Your debts'!$F$9),H107,0)+IF(AND('Your debts'!$F$7&lt;&gt;"",'Your debts'!$F$9&lt;&gt;"",'Your debts'!$F$7&lt;'Your debts'!$F$9),M107,0)+IF(AND('Your debts'!$F$8&lt;&gt;"",'Your debts'!$F$9&lt;&gt;"",'Your debts'!$F$8&lt;'Your debts'!$F$9),R107,0)+IF(AND('Your debts'!$F$10&lt;&gt;"",'Your debts'!$F$9&lt;&gt;"",'Your debts'!$F$10&lt;'Your debts'!$F$9),AB107,0)+IF(AND('Your debts'!$F$11&lt;&gt;"",'Your debts'!$F$9&lt;&gt;"",'Your debts'!$F$11&lt;'Your debts'!$F$9),AG107,0)+IF(AND('Your debts'!$F$12&lt;&gt;"",'Your debts'!$F$9&lt;&gt;"",'Your debts'!$F$12&lt;'Your debts'!$F$9),AL107,0)+IF(AND('Your debts'!$F$13&lt;&gt;"",'Your debts'!$F$9&lt;&gt;"",'Your debts'!$F$13&lt;'Your debts'!$F$9),AQ107,0)+IF(AND('Your debts'!$F$14&lt;&gt;"",'Your debts'!$F$9&lt;&gt;"",'Your debts'!$F$14&lt;'Your debts'!$F$9),AV107,0)+IF(AND('Your debts'!$F$15&lt;&gt;"",'Your debts'!$F$9&lt;&gt;"",'Your debts'!$F$15&lt;'Your debts'!$F$9),BA107,0)))))</f>
        <v/>
      </c>
      <c r="Y107" s="33">
        <f>W107-X107</f>
        <v/>
      </c>
      <c r="Z107" s="33">
        <f>IF(AD106&lt;=0,0,ROUND(AD106*(1+'Your debts'!$D$10/1200),2))</f>
        <v/>
      </c>
      <c r="AA107" s="33">
        <f>IF(Z107&lt;=0,0,MIN('Your debts'!$E$10,Z107))</f>
        <v/>
      </c>
      <c r="AB107" s="33">
        <f>Z107-AA107</f>
        <v/>
      </c>
      <c r="AC107" s="33">
        <f>IF('Your debts'!$F$10="",0,MIN(AB107,MAX(0,MAX(0,'Your debts'!$C$19-(G107+L107+Q107+V107+AA107+AF107+AK107+AP107+AU107+AZ107))-(IF(AND('Your debts'!$F$6&lt;&gt;"",'Your debts'!$F$10&lt;&gt;"",'Your debts'!$F$6&lt;'Your debts'!$F$10),H107,0)+IF(AND('Your debts'!$F$7&lt;&gt;"",'Your debts'!$F$10&lt;&gt;"",'Your debts'!$F$7&lt;'Your debts'!$F$10),M107,0)+IF(AND('Your debts'!$F$8&lt;&gt;"",'Your debts'!$F$10&lt;&gt;"",'Your debts'!$F$8&lt;'Your debts'!$F$10),R107,0)+IF(AND('Your debts'!$F$9&lt;&gt;"",'Your debts'!$F$10&lt;&gt;"",'Your debts'!$F$9&lt;'Your debts'!$F$10),W107,0)+IF(AND('Your debts'!$F$11&lt;&gt;"",'Your debts'!$F$10&lt;&gt;"",'Your debts'!$F$11&lt;'Your debts'!$F$10),AG107,0)+IF(AND('Your debts'!$F$12&lt;&gt;"",'Your debts'!$F$10&lt;&gt;"",'Your debts'!$F$12&lt;'Your debts'!$F$10),AL107,0)+IF(AND('Your debts'!$F$13&lt;&gt;"",'Your debts'!$F$10&lt;&gt;"",'Your debts'!$F$13&lt;'Your debts'!$F$10),AQ107,0)+IF(AND('Your debts'!$F$14&lt;&gt;"",'Your debts'!$F$10&lt;&gt;"",'Your debts'!$F$14&lt;'Your debts'!$F$10),AV107,0)+IF(AND('Your debts'!$F$15&lt;&gt;"",'Your debts'!$F$10&lt;&gt;"",'Your debts'!$F$15&lt;'Your debts'!$F$10),BA107,0)))))</f>
        <v/>
      </c>
      <c r="AD107" s="33">
        <f>AB107-AC107</f>
        <v/>
      </c>
      <c r="AE107" s="33">
        <f>IF(AI106&lt;=0,0,ROUND(AI106*(1+'Your debts'!$D$11/1200),2))</f>
        <v/>
      </c>
      <c r="AF107" s="33">
        <f>IF(AE107&lt;=0,0,MIN('Your debts'!$E$11,AE107))</f>
        <v/>
      </c>
      <c r="AG107" s="33">
        <f>AE107-AF107</f>
        <v/>
      </c>
      <c r="AH107" s="33">
        <f>IF('Your debts'!$F$11="",0,MIN(AG107,MAX(0,MAX(0,'Your debts'!$C$19-(G107+L107+Q107+V107+AA107+AF107+AK107+AP107+AU107+AZ107))-(IF(AND('Your debts'!$F$6&lt;&gt;"",'Your debts'!$F$11&lt;&gt;"",'Your debts'!$F$6&lt;'Your debts'!$F$11),H107,0)+IF(AND('Your debts'!$F$7&lt;&gt;"",'Your debts'!$F$11&lt;&gt;"",'Your debts'!$F$7&lt;'Your debts'!$F$11),M107,0)+IF(AND('Your debts'!$F$8&lt;&gt;"",'Your debts'!$F$11&lt;&gt;"",'Your debts'!$F$8&lt;'Your debts'!$F$11),R107,0)+IF(AND('Your debts'!$F$9&lt;&gt;"",'Your debts'!$F$11&lt;&gt;"",'Your debts'!$F$9&lt;'Your debts'!$F$11),W107,0)+IF(AND('Your debts'!$F$10&lt;&gt;"",'Your debts'!$F$11&lt;&gt;"",'Your debts'!$F$10&lt;'Your debts'!$F$11),AB107,0)+IF(AND('Your debts'!$F$12&lt;&gt;"",'Your debts'!$F$11&lt;&gt;"",'Your debts'!$F$12&lt;'Your debts'!$F$11),AL107,0)+IF(AND('Your debts'!$F$13&lt;&gt;"",'Your debts'!$F$11&lt;&gt;"",'Your debts'!$F$13&lt;'Your debts'!$F$11),AQ107,0)+IF(AND('Your debts'!$F$14&lt;&gt;"",'Your debts'!$F$11&lt;&gt;"",'Your debts'!$F$14&lt;'Your debts'!$F$11),AV107,0)+IF(AND('Your debts'!$F$15&lt;&gt;"",'Your debts'!$F$11&lt;&gt;"",'Your debts'!$F$15&lt;'Your debts'!$F$11),BA107,0)))))</f>
        <v/>
      </c>
      <c r="AI107" s="33">
        <f>AG107-AH107</f>
        <v/>
      </c>
      <c r="AJ107" s="33">
        <f>IF(AN106&lt;=0,0,ROUND(AN106*(1+'Your debts'!$D$12/1200),2))</f>
        <v/>
      </c>
      <c r="AK107" s="33">
        <f>IF(AJ107&lt;=0,0,MIN('Your debts'!$E$12,AJ107))</f>
        <v/>
      </c>
      <c r="AL107" s="33">
        <f>AJ107-AK107</f>
        <v/>
      </c>
      <c r="AM107" s="33">
        <f>IF('Your debts'!$F$12="",0,MIN(AL107,MAX(0,MAX(0,'Your debts'!$C$19-(G107+L107+Q107+V107+AA107+AF107+AK107+AP107+AU107+AZ107))-(IF(AND('Your debts'!$F$6&lt;&gt;"",'Your debts'!$F$12&lt;&gt;"",'Your debts'!$F$6&lt;'Your debts'!$F$12),H107,0)+IF(AND('Your debts'!$F$7&lt;&gt;"",'Your debts'!$F$12&lt;&gt;"",'Your debts'!$F$7&lt;'Your debts'!$F$12),M107,0)+IF(AND('Your debts'!$F$8&lt;&gt;"",'Your debts'!$F$12&lt;&gt;"",'Your debts'!$F$8&lt;'Your debts'!$F$12),R107,0)+IF(AND('Your debts'!$F$9&lt;&gt;"",'Your debts'!$F$12&lt;&gt;"",'Your debts'!$F$9&lt;'Your debts'!$F$12),W107,0)+IF(AND('Your debts'!$F$10&lt;&gt;"",'Your debts'!$F$12&lt;&gt;"",'Your debts'!$F$10&lt;'Your debts'!$F$12),AB107,0)+IF(AND('Your debts'!$F$11&lt;&gt;"",'Your debts'!$F$12&lt;&gt;"",'Your debts'!$F$11&lt;'Your debts'!$F$12),AG107,0)+IF(AND('Your debts'!$F$13&lt;&gt;"",'Your debts'!$F$12&lt;&gt;"",'Your debts'!$F$13&lt;'Your debts'!$F$12),AQ107,0)+IF(AND('Your debts'!$F$14&lt;&gt;"",'Your debts'!$F$12&lt;&gt;"",'Your debts'!$F$14&lt;'Your debts'!$F$12),AV107,0)+IF(AND('Your debts'!$F$15&lt;&gt;"",'Your debts'!$F$12&lt;&gt;"",'Your debts'!$F$15&lt;'Your debts'!$F$12),BA107,0)))))</f>
        <v/>
      </c>
      <c r="AN107" s="33">
        <f>AL107-AM107</f>
        <v/>
      </c>
      <c r="AO107" s="33">
        <f>IF(AS106&lt;=0,0,ROUND(AS106*(1+'Your debts'!$D$13/1200),2))</f>
        <v/>
      </c>
      <c r="AP107" s="33">
        <f>IF(AO107&lt;=0,0,MIN('Your debts'!$E$13,AO107))</f>
        <v/>
      </c>
      <c r="AQ107" s="33">
        <f>AO107-AP107</f>
        <v/>
      </c>
      <c r="AR107" s="33">
        <f>IF('Your debts'!$F$13="",0,MIN(AQ107,MAX(0,MAX(0,'Your debts'!$C$19-(G107+L107+Q107+V107+AA107+AF107+AK107+AP107+AU107+AZ107))-(IF(AND('Your debts'!$F$6&lt;&gt;"",'Your debts'!$F$13&lt;&gt;"",'Your debts'!$F$6&lt;'Your debts'!$F$13),H107,0)+IF(AND('Your debts'!$F$7&lt;&gt;"",'Your debts'!$F$13&lt;&gt;"",'Your debts'!$F$7&lt;'Your debts'!$F$13),M107,0)+IF(AND('Your debts'!$F$8&lt;&gt;"",'Your debts'!$F$13&lt;&gt;"",'Your debts'!$F$8&lt;'Your debts'!$F$13),R107,0)+IF(AND('Your debts'!$F$9&lt;&gt;"",'Your debts'!$F$13&lt;&gt;"",'Your debts'!$F$9&lt;'Your debts'!$F$13),W107,0)+IF(AND('Your debts'!$F$10&lt;&gt;"",'Your debts'!$F$13&lt;&gt;"",'Your debts'!$F$10&lt;'Your debts'!$F$13),AB107,0)+IF(AND('Your debts'!$F$11&lt;&gt;"",'Your debts'!$F$13&lt;&gt;"",'Your debts'!$F$11&lt;'Your debts'!$F$13),AG107,0)+IF(AND('Your debts'!$F$12&lt;&gt;"",'Your debts'!$F$13&lt;&gt;"",'Your debts'!$F$12&lt;'Your debts'!$F$13),AL107,0)+IF(AND('Your debts'!$F$14&lt;&gt;"",'Your debts'!$F$13&lt;&gt;"",'Your debts'!$F$14&lt;'Your debts'!$F$13),AV107,0)+IF(AND('Your debts'!$F$15&lt;&gt;"",'Your debts'!$F$13&lt;&gt;"",'Your debts'!$F$15&lt;'Your debts'!$F$13),BA107,0)))))</f>
        <v/>
      </c>
      <c r="AS107" s="33">
        <f>AQ107-AR107</f>
        <v/>
      </c>
      <c r="AT107" s="33">
        <f>IF(AX106&lt;=0,0,ROUND(AX106*(1+'Your debts'!$D$14/1200),2))</f>
        <v/>
      </c>
      <c r="AU107" s="33">
        <f>IF(AT107&lt;=0,0,MIN('Your debts'!$E$14,AT107))</f>
        <v/>
      </c>
      <c r="AV107" s="33">
        <f>AT107-AU107</f>
        <v/>
      </c>
      <c r="AW107" s="33">
        <f>IF('Your debts'!$F$14="",0,MIN(AV107,MAX(0,MAX(0,'Your debts'!$C$19-(G107+L107+Q107+V107+AA107+AF107+AK107+AP107+AU107+AZ107))-(IF(AND('Your debts'!$F$6&lt;&gt;"",'Your debts'!$F$14&lt;&gt;"",'Your debts'!$F$6&lt;'Your debts'!$F$14),H107,0)+IF(AND('Your debts'!$F$7&lt;&gt;"",'Your debts'!$F$14&lt;&gt;"",'Your debts'!$F$7&lt;'Your debts'!$F$14),M107,0)+IF(AND('Your debts'!$F$8&lt;&gt;"",'Your debts'!$F$14&lt;&gt;"",'Your debts'!$F$8&lt;'Your debts'!$F$14),R107,0)+IF(AND('Your debts'!$F$9&lt;&gt;"",'Your debts'!$F$14&lt;&gt;"",'Your debts'!$F$9&lt;'Your debts'!$F$14),W107,0)+IF(AND('Your debts'!$F$10&lt;&gt;"",'Your debts'!$F$14&lt;&gt;"",'Your debts'!$F$10&lt;'Your debts'!$F$14),AB107,0)+IF(AND('Your debts'!$F$11&lt;&gt;"",'Your debts'!$F$14&lt;&gt;"",'Your debts'!$F$11&lt;'Your debts'!$F$14),AG107,0)+IF(AND('Your debts'!$F$12&lt;&gt;"",'Your debts'!$F$14&lt;&gt;"",'Your debts'!$F$12&lt;'Your debts'!$F$14),AL107,0)+IF(AND('Your debts'!$F$13&lt;&gt;"",'Your debts'!$F$14&lt;&gt;"",'Your debts'!$F$13&lt;'Your debts'!$F$14),AQ107,0)+IF(AND('Your debts'!$F$15&lt;&gt;"",'Your debts'!$F$14&lt;&gt;"",'Your debts'!$F$15&lt;'Your debts'!$F$14),BA107,0)))))</f>
        <v/>
      </c>
      <c r="AX107" s="33">
        <f>AV107-AW107</f>
        <v/>
      </c>
      <c r="AY107" s="33">
        <f>IF(BC106&lt;=0,0,ROUND(BC106*(1+'Your debts'!$D$15/1200),2))</f>
        <v/>
      </c>
      <c r="AZ107" s="33">
        <f>IF(AY107&lt;=0,0,MIN('Your debts'!$E$15,AY107))</f>
        <v/>
      </c>
      <c r="BA107" s="33">
        <f>AY107-AZ107</f>
        <v/>
      </c>
      <c r="BB107" s="33">
        <f>IF('Your debts'!$F$15="",0,MIN(BA107,MAX(0,MAX(0,'Your debts'!$C$19-(G107+L107+Q107+V107+AA107+AF107+AK107+AP107+AU107+AZ107))-(IF(AND('Your debts'!$F$6&lt;&gt;"",'Your debts'!$F$15&lt;&gt;"",'Your debts'!$F$6&lt;'Your debts'!$F$15),H107,0)+IF(AND('Your debts'!$F$7&lt;&gt;"",'Your debts'!$F$15&lt;&gt;"",'Your debts'!$F$7&lt;'Your debts'!$F$15),M107,0)+IF(AND('Your debts'!$F$8&lt;&gt;"",'Your debts'!$F$15&lt;&gt;"",'Your debts'!$F$8&lt;'Your debts'!$F$15),R107,0)+IF(AND('Your debts'!$F$9&lt;&gt;"",'Your debts'!$F$15&lt;&gt;"",'Your debts'!$F$9&lt;'Your debts'!$F$15),W107,0)+IF(AND('Your debts'!$F$10&lt;&gt;"",'Your debts'!$F$15&lt;&gt;"",'Your debts'!$F$10&lt;'Your debts'!$F$15),AB107,0)+IF(AND('Your debts'!$F$11&lt;&gt;"",'Your debts'!$F$15&lt;&gt;"",'Your debts'!$F$11&lt;'Your debts'!$F$15),AG107,0)+IF(AND('Your debts'!$F$12&lt;&gt;"",'Your debts'!$F$15&lt;&gt;"",'Your debts'!$F$12&lt;'Your debts'!$F$15),AL107,0)+IF(AND('Your debts'!$F$13&lt;&gt;"",'Your debts'!$F$15&lt;&gt;"",'Your debts'!$F$13&lt;'Your debts'!$F$15),AQ107,0)+IF(AND('Your debts'!$F$14&lt;&gt;"",'Your debts'!$F$15&lt;&gt;"",'Your debts'!$F$14&lt;'Your debts'!$F$15),AV107,0)))))</f>
        <v/>
      </c>
      <c r="BC107" s="33">
        <f>BA107-BB107</f>
        <v/>
      </c>
    </row>
    <row r="108">
      <c r="A108" s="30" t="n">
        <v>93</v>
      </c>
      <c r="B108" s="31">
        <f>EDATE($B$15,93)</f>
        <v/>
      </c>
      <c r="C108" s="32">
        <f>IF(J107&lt;=0,0,F108-J107)+IF(O107&lt;=0,0,K108-O107)+IF(T107&lt;=0,0,P108-T107)+IF(Y107&lt;=0,0,U108-Y107)+IF(AD107&lt;=0,0,Z108-AD107)+IF(AI107&lt;=0,0,AE108-AI107)+IF(AN107&lt;=0,0,AJ108-AN107)+IF(AS107&lt;=0,0,AO108-AS107)+IF(AX107&lt;=0,0,AT108-AX107)+IF(BC107&lt;=0,0,AY108-BC107)</f>
        <v/>
      </c>
      <c r="D108" s="32">
        <f>G108+I108+L108+N108+Q108+S108+V108+X108+AA108+AC108+AF108+AH108+AK108+AM108+AP108+AR108+AU108+AW108+AZ108+BB108</f>
        <v/>
      </c>
      <c r="E108" s="32">
        <f>J108+O108+T108+Y108+AD108+AI108+AN108+AS108+AX108+BC108</f>
        <v/>
      </c>
      <c r="F108" s="33">
        <f>IF(J107&lt;=0,0,ROUND(J107*(1+'Your debts'!$D$6/1200),2))</f>
        <v/>
      </c>
      <c r="G108" s="33">
        <f>IF(F108&lt;=0,0,MIN('Your debts'!$E$6,F108))</f>
        <v/>
      </c>
      <c r="H108" s="33">
        <f>F108-G108</f>
        <v/>
      </c>
      <c r="I108" s="33">
        <f>IF('Your debts'!$F$6="",0,MIN(H108,MAX(0,MAX(0,'Your debts'!$C$19-(G108+L108+Q108+V108+AA108+AF108+AK108+AP108+AU108+AZ108))-(IF(AND('Your debts'!$F$7&lt;&gt;"",'Your debts'!$F$6&lt;&gt;"",'Your debts'!$F$7&lt;'Your debts'!$F$6),M108,0)+IF(AND('Your debts'!$F$8&lt;&gt;"",'Your debts'!$F$6&lt;&gt;"",'Your debts'!$F$8&lt;'Your debts'!$F$6),R108,0)+IF(AND('Your debts'!$F$9&lt;&gt;"",'Your debts'!$F$6&lt;&gt;"",'Your debts'!$F$9&lt;'Your debts'!$F$6),W108,0)+IF(AND('Your debts'!$F$10&lt;&gt;"",'Your debts'!$F$6&lt;&gt;"",'Your debts'!$F$10&lt;'Your debts'!$F$6),AB108,0)+IF(AND('Your debts'!$F$11&lt;&gt;"",'Your debts'!$F$6&lt;&gt;"",'Your debts'!$F$11&lt;'Your debts'!$F$6),AG108,0)+IF(AND('Your debts'!$F$12&lt;&gt;"",'Your debts'!$F$6&lt;&gt;"",'Your debts'!$F$12&lt;'Your debts'!$F$6),AL108,0)+IF(AND('Your debts'!$F$13&lt;&gt;"",'Your debts'!$F$6&lt;&gt;"",'Your debts'!$F$13&lt;'Your debts'!$F$6),AQ108,0)+IF(AND('Your debts'!$F$14&lt;&gt;"",'Your debts'!$F$6&lt;&gt;"",'Your debts'!$F$14&lt;'Your debts'!$F$6),AV108,0)+IF(AND('Your debts'!$F$15&lt;&gt;"",'Your debts'!$F$6&lt;&gt;"",'Your debts'!$F$15&lt;'Your debts'!$F$6),BA108,0)))))</f>
        <v/>
      </c>
      <c r="J108" s="33">
        <f>H108-I108</f>
        <v/>
      </c>
      <c r="K108" s="33">
        <f>IF(O107&lt;=0,0,ROUND(O107*(1+'Your debts'!$D$7/1200),2))</f>
        <v/>
      </c>
      <c r="L108" s="33">
        <f>IF(K108&lt;=0,0,MIN('Your debts'!$E$7,K108))</f>
        <v/>
      </c>
      <c r="M108" s="33">
        <f>K108-L108</f>
        <v/>
      </c>
      <c r="N108" s="33">
        <f>IF('Your debts'!$F$7="",0,MIN(M108,MAX(0,MAX(0,'Your debts'!$C$19-(G108+L108+Q108+V108+AA108+AF108+AK108+AP108+AU108+AZ108))-(IF(AND('Your debts'!$F$6&lt;&gt;"",'Your debts'!$F$7&lt;&gt;"",'Your debts'!$F$6&lt;'Your debts'!$F$7),H108,0)+IF(AND('Your debts'!$F$8&lt;&gt;"",'Your debts'!$F$7&lt;&gt;"",'Your debts'!$F$8&lt;'Your debts'!$F$7),R108,0)+IF(AND('Your debts'!$F$9&lt;&gt;"",'Your debts'!$F$7&lt;&gt;"",'Your debts'!$F$9&lt;'Your debts'!$F$7),W108,0)+IF(AND('Your debts'!$F$10&lt;&gt;"",'Your debts'!$F$7&lt;&gt;"",'Your debts'!$F$10&lt;'Your debts'!$F$7),AB108,0)+IF(AND('Your debts'!$F$11&lt;&gt;"",'Your debts'!$F$7&lt;&gt;"",'Your debts'!$F$11&lt;'Your debts'!$F$7),AG108,0)+IF(AND('Your debts'!$F$12&lt;&gt;"",'Your debts'!$F$7&lt;&gt;"",'Your debts'!$F$12&lt;'Your debts'!$F$7),AL108,0)+IF(AND('Your debts'!$F$13&lt;&gt;"",'Your debts'!$F$7&lt;&gt;"",'Your debts'!$F$13&lt;'Your debts'!$F$7),AQ108,0)+IF(AND('Your debts'!$F$14&lt;&gt;"",'Your debts'!$F$7&lt;&gt;"",'Your debts'!$F$14&lt;'Your debts'!$F$7),AV108,0)+IF(AND('Your debts'!$F$15&lt;&gt;"",'Your debts'!$F$7&lt;&gt;"",'Your debts'!$F$15&lt;'Your debts'!$F$7),BA108,0)))))</f>
        <v/>
      </c>
      <c r="O108" s="33">
        <f>M108-N108</f>
        <v/>
      </c>
      <c r="P108" s="33">
        <f>IF(T107&lt;=0,0,ROUND(T107*(1+'Your debts'!$D$8/1200),2))</f>
        <v/>
      </c>
      <c r="Q108" s="33">
        <f>IF(P108&lt;=0,0,MIN('Your debts'!$E$8,P108))</f>
        <v/>
      </c>
      <c r="R108" s="33">
        <f>P108-Q108</f>
        <v/>
      </c>
      <c r="S108" s="33">
        <f>IF('Your debts'!$F$8="",0,MIN(R108,MAX(0,MAX(0,'Your debts'!$C$19-(G108+L108+Q108+V108+AA108+AF108+AK108+AP108+AU108+AZ108))-(IF(AND('Your debts'!$F$6&lt;&gt;"",'Your debts'!$F$8&lt;&gt;"",'Your debts'!$F$6&lt;'Your debts'!$F$8),H108,0)+IF(AND('Your debts'!$F$7&lt;&gt;"",'Your debts'!$F$8&lt;&gt;"",'Your debts'!$F$7&lt;'Your debts'!$F$8),M108,0)+IF(AND('Your debts'!$F$9&lt;&gt;"",'Your debts'!$F$8&lt;&gt;"",'Your debts'!$F$9&lt;'Your debts'!$F$8),W108,0)+IF(AND('Your debts'!$F$10&lt;&gt;"",'Your debts'!$F$8&lt;&gt;"",'Your debts'!$F$10&lt;'Your debts'!$F$8),AB108,0)+IF(AND('Your debts'!$F$11&lt;&gt;"",'Your debts'!$F$8&lt;&gt;"",'Your debts'!$F$11&lt;'Your debts'!$F$8),AG108,0)+IF(AND('Your debts'!$F$12&lt;&gt;"",'Your debts'!$F$8&lt;&gt;"",'Your debts'!$F$12&lt;'Your debts'!$F$8),AL108,0)+IF(AND('Your debts'!$F$13&lt;&gt;"",'Your debts'!$F$8&lt;&gt;"",'Your debts'!$F$13&lt;'Your debts'!$F$8),AQ108,0)+IF(AND('Your debts'!$F$14&lt;&gt;"",'Your debts'!$F$8&lt;&gt;"",'Your debts'!$F$14&lt;'Your debts'!$F$8),AV108,0)+IF(AND('Your debts'!$F$15&lt;&gt;"",'Your debts'!$F$8&lt;&gt;"",'Your debts'!$F$15&lt;'Your debts'!$F$8),BA108,0)))))</f>
        <v/>
      </c>
      <c r="T108" s="33">
        <f>R108-S108</f>
        <v/>
      </c>
      <c r="U108" s="33">
        <f>IF(Y107&lt;=0,0,ROUND(Y107*(1+'Your debts'!$D$9/1200),2))</f>
        <v/>
      </c>
      <c r="V108" s="33">
        <f>IF(U108&lt;=0,0,MIN('Your debts'!$E$9,U108))</f>
        <v/>
      </c>
      <c r="W108" s="33">
        <f>U108-V108</f>
        <v/>
      </c>
      <c r="X108" s="33">
        <f>IF('Your debts'!$F$9="",0,MIN(W108,MAX(0,MAX(0,'Your debts'!$C$19-(G108+L108+Q108+V108+AA108+AF108+AK108+AP108+AU108+AZ108))-(IF(AND('Your debts'!$F$6&lt;&gt;"",'Your debts'!$F$9&lt;&gt;"",'Your debts'!$F$6&lt;'Your debts'!$F$9),H108,0)+IF(AND('Your debts'!$F$7&lt;&gt;"",'Your debts'!$F$9&lt;&gt;"",'Your debts'!$F$7&lt;'Your debts'!$F$9),M108,0)+IF(AND('Your debts'!$F$8&lt;&gt;"",'Your debts'!$F$9&lt;&gt;"",'Your debts'!$F$8&lt;'Your debts'!$F$9),R108,0)+IF(AND('Your debts'!$F$10&lt;&gt;"",'Your debts'!$F$9&lt;&gt;"",'Your debts'!$F$10&lt;'Your debts'!$F$9),AB108,0)+IF(AND('Your debts'!$F$11&lt;&gt;"",'Your debts'!$F$9&lt;&gt;"",'Your debts'!$F$11&lt;'Your debts'!$F$9),AG108,0)+IF(AND('Your debts'!$F$12&lt;&gt;"",'Your debts'!$F$9&lt;&gt;"",'Your debts'!$F$12&lt;'Your debts'!$F$9),AL108,0)+IF(AND('Your debts'!$F$13&lt;&gt;"",'Your debts'!$F$9&lt;&gt;"",'Your debts'!$F$13&lt;'Your debts'!$F$9),AQ108,0)+IF(AND('Your debts'!$F$14&lt;&gt;"",'Your debts'!$F$9&lt;&gt;"",'Your debts'!$F$14&lt;'Your debts'!$F$9),AV108,0)+IF(AND('Your debts'!$F$15&lt;&gt;"",'Your debts'!$F$9&lt;&gt;"",'Your debts'!$F$15&lt;'Your debts'!$F$9),BA108,0)))))</f>
        <v/>
      </c>
      <c r="Y108" s="33">
        <f>W108-X108</f>
        <v/>
      </c>
      <c r="Z108" s="33">
        <f>IF(AD107&lt;=0,0,ROUND(AD107*(1+'Your debts'!$D$10/1200),2))</f>
        <v/>
      </c>
      <c r="AA108" s="33">
        <f>IF(Z108&lt;=0,0,MIN('Your debts'!$E$10,Z108))</f>
        <v/>
      </c>
      <c r="AB108" s="33">
        <f>Z108-AA108</f>
        <v/>
      </c>
      <c r="AC108" s="33">
        <f>IF('Your debts'!$F$10="",0,MIN(AB108,MAX(0,MAX(0,'Your debts'!$C$19-(G108+L108+Q108+V108+AA108+AF108+AK108+AP108+AU108+AZ108))-(IF(AND('Your debts'!$F$6&lt;&gt;"",'Your debts'!$F$10&lt;&gt;"",'Your debts'!$F$6&lt;'Your debts'!$F$10),H108,0)+IF(AND('Your debts'!$F$7&lt;&gt;"",'Your debts'!$F$10&lt;&gt;"",'Your debts'!$F$7&lt;'Your debts'!$F$10),M108,0)+IF(AND('Your debts'!$F$8&lt;&gt;"",'Your debts'!$F$10&lt;&gt;"",'Your debts'!$F$8&lt;'Your debts'!$F$10),R108,0)+IF(AND('Your debts'!$F$9&lt;&gt;"",'Your debts'!$F$10&lt;&gt;"",'Your debts'!$F$9&lt;'Your debts'!$F$10),W108,0)+IF(AND('Your debts'!$F$11&lt;&gt;"",'Your debts'!$F$10&lt;&gt;"",'Your debts'!$F$11&lt;'Your debts'!$F$10),AG108,0)+IF(AND('Your debts'!$F$12&lt;&gt;"",'Your debts'!$F$10&lt;&gt;"",'Your debts'!$F$12&lt;'Your debts'!$F$10),AL108,0)+IF(AND('Your debts'!$F$13&lt;&gt;"",'Your debts'!$F$10&lt;&gt;"",'Your debts'!$F$13&lt;'Your debts'!$F$10),AQ108,0)+IF(AND('Your debts'!$F$14&lt;&gt;"",'Your debts'!$F$10&lt;&gt;"",'Your debts'!$F$14&lt;'Your debts'!$F$10),AV108,0)+IF(AND('Your debts'!$F$15&lt;&gt;"",'Your debts'!$F$10&lt;&gt;"",'Your debts'!$F$15&lt;'Your debts'!$F$10),BA108,0)))))</f>
        <v/>
      </c>
      <c r="AD108" s="33">
        <f>AB108-AC108</f>
        <v/>
      </c>
      <c r="AE108" s="33">
        <f>IF(AI107&lt;=0,0,ROUND(AI107*(1+'Your debts'!$D$11/1200),2))</f>
        <v/>
      </c>
      <c r="AF108" s="33">
        <f>IF(AE108&lt;=0,0,MIN('Your debts'!$E$11,AE108))</f>
        <v/>
      </c>
      <c r="AG108" s="33">
        <f>AE108-AF108</f>
        <v/>
      </c>
      <c r="AH108" s="33">
        <f>IF('Your debts'!$F$11="",0,MIN(AG108,MAX(0,MAX(0,'Your debts'!$C$19-(G108+L108+Q108+V108+AA108+AF108+AK108+AP108+AU108+AZ108))-(IF(AND('Your debts'!$F$6&lt;&gt;"",'Your debts'!$F$11&lt;&gt;"",'Your debts'!$F$6&lt;'Your debts'!$F$11),H108,0)+IF(AND('Your debts'!$F$7&lt;&gt;"",'Your debts'!$F$11&lt;&gt;"",'Your debts'!$F$7&lt;'Your debts'!$F$11),M108,0)+IF(AND('Your debts'!$F$8&lt;&gt;"",'Your debts'!$F$11&lt;&gt;"",'Your debts'!$F$8&lt;'Your debts'!$F$11),R108,0)+IF(AND('Your debts'!$F$9&lt;&gt;"",'Your debts'!$F$11&lt;&gt;"",'Your debts'!$F$9&lt;'Your debts'!$F$11),W108,0)+IF(AND('Your debts'!$F$10&lt;&gt;"",'Your debts'!$F$11&lt;&gt;"",'Your debts'!$F$10&lt;'Your debts'!$F$11),AB108,0)+IF(AND('Your debts'!$F$12&lt;&gt;"",'Your debts'!$F$11&lt;&gt;"",'Your debts'!$F$12&lt;'Your debts'!$F$11),AL108,0)+IF(AND('Your debts'!$F$13&lt;&gt;"",'Your debts'!$F$11&lt;&gt;"",'Your debts'!$F$13&lt;'Your debts'!$F$11),AQ108,0)+IF(AND('Your debts'!$F$14&lt;&gt;"",'Your debts'!$F$11&lt;&gt;"",'Your debts'!$F$14&lt;'Your debts'!$F$11),AV108,0)+IF(AND('Your debts'!$F$15&lt;&gt;"",'Your debts'!$F$11&lt;&gt;"",'Your debts'!$F$15&lt;'Your debts'!$F$11),BA108,0)))))</f>
        <v/>
      </c>
      <c r="AI108" s="33">
        <f>AG108-AH108</f>
        <v/>
      </c>
      <c r="AJ108" s="33">
        <f>IF(AN107&lt;=0,0,ROUND(AN107*(1+'Your debts'!$D$12/1200),2))</f>
        <v/>
      </c>
      <c r="AK108" s="33">
        <f>IF(AJ108&lt;=0,0,MIN('Your debts'!$E$12,AJ108))</f>
        <v/>
      </c>
      <c r="AL108" s="33">
        <f>AJ108-AK108</f>
        <v/>
      </c>
      <c r="AM108" s="33">
        <f>IF('Your debts'!$F$12="",0,MIN(AL108,MAX(0,MAX(0,'Your debts'!$C$19-(G108+L108+Q108+V108+AA108+AF108+AK108+AP108+AU108+AZ108))-(IF(AND('Your debts'!$F$6&lt;&gt;"",'Your debts'!$F$12&lt;&gt;"",'Your debts'!$F$6&lt;'Your debts'!$F$12),H108,0)+IF(AND('Your debts'!$F$7&lt;&gt;"",'Your debts'!$F$12&lt;&gt;"",'Your debts'!$F$7&lt;'Your debts'!$F$12),M108,0)+IF(AND('Your debts'!$F$8&lt;&gt;"",'Your debts'!$F$12&lt;&gt;"",'Your debts'!$F$8&lt;'Your debts'!$F$12),R108,0)+IF(AND('Your debts'!$F$9&lt;&gt;"",'Your debts'!$F$12&lt;&gt;"",'Your debts'!$F$9&lt;'Your debts'!$F$12),W108,0)+IF(AND('Your debts'!$F$10&lt;&gt;"",'Your debts'!$F$12&lt;&gt;"",'Your debts'!$F$10&lt;'Your debts'!$F$12),AB108,0)+IF(AND('Your debts'!$F$11&lt;&gt;"",'Your debts'!$F$12&lt;&gt;"",'Your debts'!$F$11&lt;'Your debts'!$F$12),AG108,0)+IF(AND('Your debts'!$F$13&lt;&gt;"",'Your debts'!$F$12&lt;&gt;"",'Your debts'!$F$13&lt;'Your debts'!$F$12),AQ108,0)+IF(AND('Your debts'!$F$14&lt;&gt;"",'Your debts'!$F$12&lt;&gt;"",'Your debts'!$F$14&lt;'Your debts'!$F$12),AV108,0)+IF(AND('Your debts'!$F$15&lt;&gt;"",'Your debts'!$F$12&lt;&gt;"",'Your debts'!$F$15&lt;'Your debts'!$F$12),BA108,0)))))</f>
        <v/>
      </c>
      <c r="AN108" s="33">
        <f>AL108-AM108</f>
        <v/>
      </c>
      <c r="AO108" s="33">
        <f>IF(AS107&lt;=0,0,ROUND(AS107*(1+'Your debts'!$D$13/1200),2))</f>
        <v/>
      </c>
      <c r="AP108" s="33">
        <f>IF(AO108&lt;=0,0,MIN('Your debts'!$E$13,AO108))</f>
        <v/>
      </c>
      <c r="AQ108" s="33">
        <f>AO108-AP108</f>
        <v/>
      </c>
      <c r="AR108" s="33">
        <f>IF('Your debts'!$F$13="",0,MIN(AQ108,MAX(0,MAX(0,'Your debts'!$C$19-(G108+L108+Q108+V108+AA108+AF108+AK108+AP108+AU108+AZ108))-(IF(AND('Your debts'!$F$6&lt;&gt;"",'Your debts'!$F$13&lt;&gt;"",'Your debts'!$F$6&lt;'Your debts'!$F$13),H108,0)+IF(AND('Your debts'!$F$7&lt;&gt;"",'Your debts'!$F$13&lt;&gt;"",'Your debts'!$F$7&lt;'Your debts'!$F$13),M108,0)+IF(AND('Your debts'!$F$8&lt;&gt;"",'Your debts'!$F$13&lt;&gt;"",'Your debts'!$F$8&lt;'Your debts'!$F$13),R108,0)+IF(AND('Your debts'!$F$9&lt;&gt;"",'Your debts'!$F$13&lt;&gt;"",'Your debts'!$F$9&lt;'Your debts'!$F$13),W108,0)+IF(AND('Your debts'!$F$10&lt;&gt;"",'Your debts'!$F$13&lt;&gt;"",'Your debts'!$F$10&lt;'Your debts'!$F$13),AB108,0)+IF(AND('Your debts'!$F$11&lt;&gt;"",'Your debts'!$F$13&lt;&gt;"",'Your debts'!$F$11&lt;'Your debts'!$F$13),AG108,0)+IF(AND('Your debts'!$F$12&lt;&gt;"",'Your debts'!$F$13&lt;&gt;"",'Your debts'!$F$12&lt;'Your debts'!$F$13),AL108,0)+IF(AND('Your debts'!$F$14&lt;&gt;"",'Your debts'!$F$13&lt;&gt;"",'Your debts'!$F$14&lt;'Your debts'!$F$13),AV108,0)+IF(AND('Your debts'!$F$15&lt;&gt;"",'Your debts'!$F$13&lt;&gt;"",'Your debts'!$F$15&lt;'Your debts'!$F$13),BA108,0)))))</f>
        <v/>
      </c>
      <c r="AS108" s="33">
        <f>AQ108-AR108</f>
        <v/>
      </c>
      <c r="AT108" s="33">
        <f>IF(AX107&lt;=0,0,ROUND(AX107*(1+'Your debts'!$D$14/1200),2))</f>
        <v/>
      </c>
      <c r="AU108" s="33">
        <f>IF(AT108&lt;=0,0,MIN('Your debts'!$E$14,AT108))</f>
        <v/>
      </c>
      <c r="AV108" s="33">
        <f>AT108-AU108</f>
        <v/>
      </c>
      <c r="AW108" s="33">
        <f>IF('Your debts'!$F$14="",0,MIN(AV108,MAX(0,MAX(0,'Your debts'!$C$19-(G108+L108+Q108+V108+AA108+AF108+AK108+AP108+AU108+AZ108))-(IF(AND('Your debts'!$F$6&lt;&gt;"",'Your debts'!$F$14&lt;&gt;"",'Your debts'!$F$6&lt;'Your debts'!$F$14),H108,0)+IF(AND('Your debts'!$F$7&lt;&gt;"",'Your debts'!$F$14&lt;&gt;"",'Your debts'!$F$7&lt;'Your debts'!$F$14),M108,0)+IF(AND('Your debts'!$F$8&lt;&gt;"",'Your debts'!$F$14&lt;&gt;"",'Your debts'!$F$8&lt;'Your debts'!$F$14),R108,0)+IF(AND('Your debts'!$F$9&lt;&gt;"",'Your debts'!$F$14&lt;&gt;"",'Your debts'!$F$9&lt;'Your debts'!$F$14),W108,0)+IF(AND('Your debts'!$F$10&lt;&gt;"",'Your debts'!$F$14&lt;&gt;"",'Your debts'!$F$10&lt;'Your debts'!$F$14),AB108,0)+IF(AND('Your debts'!$F$11&lt;&gt;"",'Your debts'!$F$14&lt;&gt;"",'Your debts'!$F$11&lt;'Your debts'!$F$14),AG108,0)+IF(AND('Your debts'!$F$12&lt;&gt;"",'Your debts'!$F$14&lt;&gt;"",'Your debts'!$F$12&lt;'Your debts'!$F$14),AL108,0)+IF(AND('Your debts'!$F$13&lt;&gt;"",'Your debts'!$F$14&lt;&gt;"",'Your debts'!$F$13&lt;'Your debts'!$F$14),AQ108,0)+IF(AND('Your debts'!$F$15&lt;&gt;"",'Your debts'!$F$14&lt;&gt;"",'Your debts'!$F$15&lt;'Your debts'!$F$14),BA108,0)))))</f>
        <v/>
      </c>
      <c r="AX108" s="33">
        <f>AV108-AW108</f>
        <v/>
      </c>
      <c r="AY108" s="33">
        <f>IF(BC107&lt;=0,0,ROUND(BC107*(1+'Your debts'!$D$15/1200),2))</f>
        <v/>
      </c>
      <c r="AZ108" s="33">
        <f>IF(AY108&lt;=0,0,MIN('Your debts'!$E$15,AY108))</f>
        <v/>
      </c>
      <c r="BA108" s="33">
        <f>AY108-AZ108</f>
        <v/>
      </c>
      <c r="BB108" s="33">
        <f>IF('Your debts'!$F$15="",0,MIN(BA108,MAX(0,MAX(0,'Your debts'!$C$19-(G108+L108+Q108+V108+AA108+AF108+AK108+AP108+AU108+AZ108))-(IF(AND('Your debts'!$F$6&lt;&gt;"",'Your debts'!$F$15&lt;&gt;"",'Your debts'!$F$6&lt;'Your debts'!$F$15),H108,0)+IF(AND('Your debts'!$F$7&lt;&gt;"",'Your debts'!$F$15&lt;&gt;"",'Your debts'!$F$7&lt;'Your debts'!$F$15),M108,0)+IF(AND('Your debts'!$F$8&lt;&gt;"",'Your debts'!$F$15&lt;&gt;"",'Your debts'!$F$8&lt;'Your debts'!$F$15),R108,0)+IF(AND('Your debts'!$F$9&lt;&gt;"",'Your debts'!$F$15&lt;&gt;"",'Your debts'!$F$9&lt;'Your debts'!$F$15),W108,0)+IF(AND('Your debts'!$F$10&lt;&gt;"",'Your debts'!$F$15&lt;&gt;"",'Your debts'!$F$10&lt;'Your debts'!$F$15),AB108,0)+IF(AND('Your debts'!$F$11&lt;&gt;"",'Your debts'!$F$15&lt;&gt;"",'Your debts'!$F$11&lt;'Your debts'!$F$15),AG108,0)+IF(AND('Your debts'!$F$12&lt;&gt;"",'Your debts'!$F$15&lt;&gt;"",'Your debts'!$F$12&lt;'Your debts'!$F$15),AL108,0)+IF(AND('Your debts'!$F$13&lt;&gt;"",'Your debts'!$F$15&lt;&gt;"",'Your debts'!$F$13&lt;'Your debts'!$F$15),AQ108,0)+IF(AND('Your debts'!$F$14&lt;&gt;"",'Your debts'!$F$15&lt;&gt;"",'Your debts'!$F$14&lt;'Your debts'!$F$15),AV108,0)))))</f>
        <v/>
      </c>
      <c r="BC108" s="33">
        <f>BA108-BB108</f>
        <v/>
      </c>
    </row>
    <row r="109">
      <c r="A109" s="30" t="n">
        <v>94</v>
      </c>
      <c r="B109" s="31">
        <f>EDATE($B$15,94)</f>
        <v/>
      </c>
      <c r="C109" s="32">
        <f>IF(J108&lt;=0,0,F109-J108)+IF(O108&lt;=0,0,K109-O108)+IF(T108&lt;=0,0,P109-T108)+IF(Y108&lt;=0,0,U109-Y108)+IF(AD108&lt;=0,0,Z109-AD108)+IF(AI108&lt;=0,0,AE109-AI108)+IF(AN108&lt;=0,0,AJ109-AN108)+IF(AS108&lt;=0,0,AO109-AS108)+IF(AX108&lt;=0,0,AT109-AX108)+IF(BC108&lt;=0,0,AY109-BC108)</f>
        <v/>
      </c>
      <c r="D109" s="32">
        <f>G109+I109+L109+N109+Q109+S109+V109+X109+AA109+AC109+AF109+AH109+AK109+AM109+AP109+AR109+AU109+AW109+AZ109+BB109</f>
        <v/>
      </c>
      <c r="E109" s="32">
        <f>J109+O109+T109+Y109+AD109+AI109+AN109+AS109+AX109+BC109</f>
        <v/>
      </c>
      <c r="F109" s="33">
        <f>IF(J108&lt;=0,0,ROUND(J108*(1+'Your debts'!$D$6/1200),2))</f>
        <v/>
      </c>
      <c r="G109" s="33">
        <f>IF(F109&lt;=0,0,MIN('Your debts'!$E$6,F109))</f>
        <v/>
      </c>
      <c r="H109" s="33">
        <f>F109-G109</f>
        <v/>
      </c>
      <c r="I109" s="33">
        <f>IF('Your debts'!$F$6="",0,MIN(H109,MAX(0,MAX(0,'Your debts'!$C$19-(G109+L109+Q109+V109+AA109+AF109+AK109+AP109+AU109+AZ109))-(IF(AND('Your debts'!$F$7&lt;&gt;"",'Your debts'!$F$6&lt;&gt;"",'Your debts'!$F$7&lt;'Your debts'!$F$6),M109,0)+IF(AND('Your debts'!$F$8&lt;&gt;"",'Your debts'!$F$6&lt;&gt;"",'Your debts'!$F$8&lt;'Your debts'!$F$6),R109,0)+IF(AND('Your debts'!$F$9&lt;&gt;"",'Your debts'!$F$6&lt;&gt;"",'Your debts'!$F$9&lt;'Your debts'!$F$6),W109,0)+IF(AND('Your debts'!$F$10&lt;&gt;"",'Your debts'!$F$6&lt;&gt;"",'Your debts'!$F$10&lt;'Your debts'!$F$6),AB109,0)+IF(AND('Your debts'!$F$11&lt;&gt;"",'Your debts'!$F$6&lt;&gt;"",'Your debts'!$F$11&lt;'Your debts'!$F$6),AG109,0)+IF(AND('Your debts'!$F$12&lt;&gt;"",'Your debts'!$F$6&lt;&gt;"",'Your debts'!$F$12&lt;'Your debts'!$F$6),AL109,0)+IF(AND('Your debts'!$F$13&lt;&gt;"",'Your debts'!$F$6&lt;&gt;"",'Your debts'!$F$13&lt;'Your debts'!$F$6),AQ109,0)+IF(AND('Your debts'!$F$14&lt;&gt;"",'Your debts'!$F$6&lt;&gt;"",'Your debts'!$F$14&lt;'Your debts'!$F$6),AV109,0)+IF(AND('Your debts'!$F$15&lt;&gt;"",'Your debts'!$F$6&lt;&gt;"",'Your debts'!$F$15&lt;'Your debts'!$F$6),BA109,0)))))</f>
        <v/>
      </c>
      <c r="J109" s="33">
        <f>H109-I109</f>
        <v/>
      </c>
      <c r="K109" s="33">
        <f>IF(O108&lt;=0,0,ROUND(O108*(1+'Your debts'!$D$7/1200),2))</f>
        <v/>
      </c>
      <c r="L109" s="33">
        <f>IF(K109&lt;=0,0,MIN('Your debts'!$E$7,K109))</f>
        <v/>
      </c>
      <c r="M109" s="33">
        <f>K109-L109</f>
        <v/>
      </c>
      <c r="N109" s="33">
        <f>IF('Your debts'!$F$7="",0,MIN(M109,MAX(0,MAX(0,'Your debts'!$C$19-(G109+L109+Q109+V109+AA109+AF109+AK109+AP109+AU109+AZ109))-(IF(AND('Your debts'!$F$6&lt;&gt;"",'Your debts'!$F$7&lt;&gt;"",'Your debts'!$F$6&lt;'Your debts'!$F$7),H109,0)+IF(AND('Your debts'!$F$8&lt;&gt;"",'Your debts'!$F$7&lt;&gt;"",'Your debts'!$F$8&lt;'Your debts'!$F$7),R109,0)+IF(AND('Your debts'!$F$9&lt;&gt;"",'Your debts'!$F$7&lt;&gt;"",'Your debts'!$F$9&lt;'Your debts'!$F$7),W109,0)+IF(AND('Your debts'!$F$10&lt;&gt;"",'Your debts'!$F$7&lt;&gt;"",'Your debts'!$F$10&lt;'Your debts'!$F$7),AB109,0)+IF(AND('Your debts'!$F$11&lt;&gt;"",'Your debts'!$F$7&lt;&gt;"",'Your debts'!$F$11&lt;'Your debts'!$F$7),AG109,0)+IF(AND('Your debts'!$F$12&lt;&gt;"",'Your debts'!$F$7&lt;&gt;"",'Your debts'!$F$12&lt;'Your debts'!$F$7),AL109,0)+IF(AND('Your debts'!$F$13&lt;&gt;"",'Your debts'!$F$7&lt;&gt;"",'Your debts'!$F$13&lt;'Your debts'!$F$7),AQ109,0)+IF(AND('Your debts'!$F$14&lt;&gt;"",'Your debts'!$F$7&lt;&gt;"",'Your debts'!$F$14&lt;'Your debts'!$F$7),AV109,0)+IF(AND('Your debts'!$F$15&lt;&gt;"",'Your debts'!$F$7&lt;&gt;"",'Your debts'!$F$15&lt;'Your debts'!$F$7),BA109,0)))))</f>
        <v/>
      </c>
      <c r="O109" s="33">
        <f>M109-N109</f>
        <v/>
      </c>
      <c r="P109" s="33">
        <f>IF(T108&lt;=0,0,ROUND(T108*(1+'Your debts'!$D$8/1200),2))</f>
        <v/>
      </c>
      <c r="Q109" s="33">
        <f>IF(P109&lt;=0,0,MIN('Your debts'!$E$8,P109))</f>
        <v/>
      </c>
      <c r="R109" s="33">
        <f>P109-Q109</f>
        <v/>
      </c>
      <c r="S109" s="33">
        <f>IF('Your debts'!$F$8="",0,MIN(R109,MAX(0,MAX(0,'Your debts'!$C$19-(G109+L109+Q109+V109+AA109+AF109+AK109+AP109+AU109+AZ109))-(IF(AND('Your debts'!$F$6&lt;&gt;"",'Your debts'!$F$8&lt;&gt;"",'Your debts'!$F$6&lt;'Your debts'!$F$8),H109,0)+IF(AND('Your debts'!$F$7&lt;&gt;"",'Your debts'!$F$8&lt;&gt;"",'Your debts'!$F$7&lt;'Your debts'!$F$8),M109,0)+IF(AND('Your debts'!$F$9&lt;&gt;"",'Your debts'!$F$8&lt;&gt;"",'Your debts'!$F$9&lt;'Your debts'!$F$8),W109,0)+IF(AND('Your debts'!$F$10&lt;&gt;"",'Your debts'!$F$8&lt;&gt;"",'Your debts'!$F$10&lt;'Your debts'!$F$8),AB109,0)+IF(AND('Your debts'!$F$11&lt;&gt;"",'Your debts'!$F$8&lt;&gt;"",'Your debts'!$F$11&lt;'Your debts'!$F$8),AG109,0)+IF(AND('Your debts'!$F$12&lt;&gt;"",'Your debts'!$F$8&lt;&gt;"",'Your debts'!$F$12&lt;'Your debts'!$F$8),AL109,0)+IF(AND('Your debts'!$F$13&lt;&gt;"",'Your debts'!$F$8&lt;&gt;"",'Your debts'!$F$13&lt;'Your debts'!$F$8),AQ109,0)+IF(AND('Your debts'!$F$14&lt;&gt;"",'Your debts'!$F$8&lt;&gt;"",'Your debts'!$F$14&lt;'Your debts'!$F$8),AV109,0)+IF(AND('Your debts'!$F$15&lt;&gt;"",'Your debts'!$F$8&lt;&gt;"",'Your debts'!$F$15&lt;'Your debts'!$F$8),BA109,0)))))</f>
        <v/>
      </c>
      <c r="T109" s="33">
        <f>R109-S109</f>
        <v/>
      </c>
      <c r="U109" s="33">
        <f>IF(Y108&lt;=0,0,ROUND(Y108*(1+'Your debts'!$D$9/1200),2))</f>
        <v/>
      </c>
      <c r="V109" s="33">
        <f>IF(U109&lt;=0,0,MIN('Your debts'!$E$9,U109))</f>
        <v/>
      </c>
      <c r="W109" s="33">
        <f>U109-V109</f>
        <v/>
      </c>
      <c r="X109" s="33">
        <f>IF('Your debts'!$F$9="",0,MIN(W109,MAX(0,MAX(0,'Your debts'!$C$19-(G109+L109+Q109+V109+AA109+AF109+AK109+AP109+AU109+AZ109))-(IF(AND('Your debts'!$F$6&lt;&gt;"",'Your debts'!$F$9&lt;&gt;"",'Your debts'!$F$6&lt;'Your debts'!$F$9),H109,0)+IF(AND('Your debts'!$F$7&lt;&gt;"",'Your debts'!$F$9&lt;&gt;"",'Your debts'!$F$7&lt;'Your debts'!$F$9),M109,0)+IF(AND('Your debts'!$F$8&lt;&gt;"",'Your debts'!$F$9&lt;&gt;"",'Your debts'!$F$8&lt;'Your debts'!$F$9),R109,0)+IF(AND('Your debts'!$F$10&lt;&gt;"",'Your debts'!$F$9&lt;&gt;"",'Your debts'!$F$10&lt;'Your debts'!$F$9),AB109,0)+IF(AND('Your debts'!$F$11&lt;&gt;"",'Your debts'!$F$9&lt;&gt;"",'Your debts'!$F$11&lt;'Your debts'!$F$9),AG109,0)+IF(AND('Your debts'!$F$12&lt;&gt;"",'Your debts'!$F$9&lt;&gt;"",'Your debts'!$F$12&lt;'Your debts'!$F$9),AL109,0)+IF(AND('Your debts'!$F$13&lt;&gt;"",'Your debts'!$F$9&lt;&gt;"",'Your debts'!$F$13&lt;'Your debts'!$F$9),AQ109,0)+IF(AND('Your debts'!$F$14&lt;&gt;"",'Your debts'!$F$9&lt;&gt;"",'Your debts'!$F$14&lt;'Your debts'!$F$9),AV109,0)+IF(AND('Your debts'!$F$15&lt;&gt;"",'Your debts'!$F$9&lt;&gt;"",'Your debts'!$F$15&lt;'Your debts'!$F$9),BA109,0)))))</f>
        <v/>
      </c>
      <c r="Y109" s="33">
        <f>W109-X109</f>
        <v/>
      </c>
      <c r="Z109" s="33">
        <f>IF(AD108&lt;=0,0,ROUND(AD108*(1+'Your debts'!$D$10/1200),2))</f>
        <v/>
      </c>
      <c r="AA109" s="33">
        <f>IF(Z109&lt;=0,0,MIN('Your debts'!$E$10,Z109))</f>
        <v/>
      </c>
      <c r="AB109" s="33">
        <f>Z109-AA109</f>
        <v/>
      </c>
      <c r="AC109" s="33">
        <f>IF('Your debts'!$F$10="",0,MIN(AB109,MAX(0,MAX(0,'Your debts'!$C$19-(G109+L109+Q109+V109+AA109+AF109+AK109+AP109+AU109+AZ109))-(IF(AND('Your debts'!$F$6&lt;&gt;"",'Your debts'!$F$10&lt;&gt;"",'Your debts'!$F$6&lt;'Your debts'!$F$10),H109,0)+IF(AND('Your debts'!$F$7&lt;&gt;"",'Your debts'!$F$10&lt;&gt;"",'Your debts'!$F$7&lt;'Your debts'!$F$10),M109,0)+IF(AND('Your debts'!$F$8&lt;&gt;"",'Your debts'!$F$10&lt;&gt;"",'Your debts'!$F$8&lt;'Your debts'!$F$10),R109,0)+IF(AND('Your debts'!$F$9&lt;&gt;"",'Your debts'!$F$10&lt;&gt;"",'Your debts'!$F$9&lt;'Your debts'!$F$10),W109,0)+IF(AND('Your debts'!$F$11&lt;&gt;"",'Your debts'!$F$10&lt;&gt;"",'Your debts'!$F$11&lt;'Your debts'!$F$10),AG109,0)+IF(AND('Your debts'!$F$12&lt;&gt;"",'Your debts'!$F$10&lt;&gt;"",'Your debts'!$F$12&lt;'Your debts'!$F$10),AL109,0)+IF(AND('Your debts'!$F$13&lt;&gt;"",'Your debts'!$F$10&lt;&gt;"",'Your debts'!$F$13&lt;'Your debts'!$F$10),AQ109,0)+IF(AND('Your debts'!$F$14&lt;&gt;"",'Your debts'!$F$10&lt;&gt;"",'Your debts'!$F$14&lt;'Your debts'!$F$10),AV109,0)+IF(AND('Your debts'!$F$15&lt;&gt;"",'Your debts'!$F$10&lt;&gt;"",'Your debts'!$F$15&lt;'Your debts'!$F$10),BA109,0)))))</f>
        <v/>
      </c>
      <c r="AD109" s="33">
        <f>AB109-AC109</f>
        <v/>
      </c>
      <c r="AE109" s="33">
        <f>IF(AI108&lt;=0,0,ROUND(AI108*(1+'Your debts'!$D$11/1200),2))</f>
        <v/>
      </c>
      <c r="AF109" s="33">
        <f>IF(AE109&lt;=0,0,MIN('Your debts'!$E$11,AE109))</f>
        <v/>
      </c>
      <c r="AG109" s="33">
        <f>AE109-AF109</f>
        <v/>
      </c>
      <c r="AH109" s="33">
        <f>IF('Your debts'!$F$11="",0,MIN(AG109,MAX(0,MAX(0,'Your debts'!$C$19-(G109+L109+Q109+V109+AA109+AF109+AK109+AP109+AU109+AZ109))-(IF(AND('Your debts'!$F$6&lt;&gt;"",'Your debts'!$F$11&lt;&gt;"",'Your debts'!$F$6&lt;'Your debts'!$F$11),H109,0)+IF(AND('Your debts'!$F$7&lt;&gt;"",'Your debts'!$F$11&lt;&gt;"",'Your debts'!$F$7&lt;'Your debts'!$F$11),M109,0)+IF(AND('Your debts'!$F$8&lt;&gt;"",'Your debts'!$F$11&lt;&gt;"",'Your debts'!$F$8&lt;'Your debts'!$F$11),R109,0)+IF(AND('Your debts'!$F$9&lt;&gt;"",'Your debts'!$F$11&lt;&gt;"",'Your debts'!$F$9&lt;'Your debts'!$F$11),W109,0)+IF(AND('Your debts'!$F$10&lt;&gt;"",'Your debts'!$F$11&lt;&gt;"",'Your debts'!$F$10&lt;'Your debts'!$F$11),AB109,0)+IF(AND('Your debts'!$F$12&lt;&gt;"",'Your debts'!$F$11&lt;&gt;"",'Your debts'!$F$12&lt;'Your debts'!$F$11),AL109,0)+IF(AND('Your debts'!$F$13&lt;&gt;"",'Your debts'!$F$11&lt;&gt;"",'Your debts'!$F$13&lt;'Your debts'!$F$11),AQ109,0)+IF(AND('Your debts'!$F$14&lt;&gt;"",'Your debts'!$F$11&lt;&gt;"",'Your debts'!$F$14&lt;'Your debts'!$F$11),AV109,0)+IF(AND('Your debts'!$F$15&lt;&gt;"",'Your debts'!$F$11&lt;&gt;"",'Your debts'!$F$15&lt;'Your debts'!$F$11),BA109,0)))))</f>
        <v/>
      </c>
      <c r="AI109" s="33">
        <f>AG109-AH109</f>
        <v/>
      </c>
      <c r="AJ109" s="33">
        <f>IF(AN108&lt;=0,0,ROUND(AN108*(1+'Your debts'!$D$12/1200),2))</f>
        <v/>
      </c>
      <c r="AK109" s="33">
        <f>IF(AJ109&lt;=0,0,MIN('Your debts'!$E$12,AJ109))</f>
        <v/>
      </c>
      <c r="AL109" s="33">
        <f>AJ109-AK109</f>
        <v/>
      </c>
      <c r="AM109" s="33">
        <f>IF('Your debts'!$F$12="",0,MIN(AL109,MAX(0,MAX(0,'Your debts'!$C$19-(G109+L109+Q109+V109+AA109+AF109+AK109+AP109+AU109+AZ109))-(IF(AND('Your debts'!$F$6&lt;&gt;"",'Your debts'!$F$12&lt;&gt;"",'Your debts'!$F$6&lt;'Your debts'!$F$12),H109,0)+IF(AND('Your debts'!$F$7&lt;&gt;"",'Your debts'!$F$12&lt;&gt;"",'Your debts'!$F$7&lt;'Your debts'!$F$12),M109,0)+IF(AND('Your debts'!$F$8&lt;&gt;"",'Your debts'!$F$12&lt;&gt;"",'Your debts'!$F$8&lt;'Your debts'!$F$12),R109,0)+IF(AND('Your debts'!$F$9&lt;&gt;"",'Your debts'!$F$12&lt;&gt;"",'Your debts'!$F$9&lt;'Your debts'!$F$12),W109,0)+IF(AND('Your debts'!$F$10&lt;&gt;"",'Your debts'!$F$12&lt;&gt;"",'Your debts'!$F$10&lt;'Your debts'!$F$12),AB109,0)+IF(AND('Your debts'!$F$11&lt;&gt;"",'Your debts'!$F$12&lt;&gt;"",'Your debts'!$F$11&lt;'Your debts'!$F$12),AG109,0)+IF(AND('Your debts'!$F$13&lt;&gt;"",'Your debts'!$F$12&lt;&gt;"",'Your debts'!$F$13&lt;'Your debts'!$F$12),AQ109,0)+IF(AND('Your debts'!$F$14&lt;&gt;"",'Your debts'!$F$12&lt;&gt;"",'Your debts'!$F$14&lt;'Your debts'!$F$12),AV109,0)+IF(AND('Your debts'!$F$15&lt;&gt;"",'Your debts'!$F$12&lt;&gt;"",'Your debts'!$F$15&lt;'Your debts'!$F$12),BA109,0)))))</f>
        <v/>
      </c>
      <c r="AN109" s="33">
        <f>AL109-AM109</f>
        <v/>
      </c>
      <c r="AO109" s="33">
        <f>IF(AS108&lt;=0,0,ROUND(AS108*(1+'Your debts'!$D$13/1200),2))</f>
        <v/>
      </c>
      <c r="AP109" s="33">
        <f>IF(AO109&lt;=0,0,MIN('Your debts'!$E$13,AO109))</f>
        <v/>
      </c>
      <c r="AQ109" s="33">
        <f>AO109-AP109</f>
        <v/>
      </c>
      <c r="AR109" s="33">
        <f>IF('Your debts'!$F$13="",0,MIN(AQ109,MAX(0,MAX(0,'Your debts'!$C$19-(G109+L109+Q109+V109+AA109+AF109+AK109+AP109+AU109+AZ109))-(IF(AND('Your debts'!$F$6&lt;&gt;"",'Your debts'!$F$13&lt;&gt;"",'Your debts'!$F$6&lt;'Your debts'!$F$13),H109,0)+IF(AND('Your debts'!$F$7&lt;&gt;"",'Your debts'!$F$13&lt;&gt;"",'Your debts'!$F$7&lt;'Your debts'!$F$13),M109,0)+IF(AND('Your debts'!$F$8&lt;&gt;"",'Your debts'!$F$13&lt;&gt;"",'Your debts'!$F$8&lt;'Your debts'!$F$13),R109,0)+IF(AND('Your debts'!$F$9&lt;&gt;"",'Your debts'!$F$13&lt;&gt;"",'Your debts'!$F$9&lt;'Your debts'!$F$13),W109,0)+IF(AND('Your debts'!$F$10&lt;&gt;"",'Your debts'!$F$13&lt;&gt;"",'Your debts'!$F$10&lt;'Your debts'!$F$13),AB109,0)+IF(AND('Your debts'!$F$11&lt;&gt;"",'Your debts'!$F$13&lt;&gt;"",'Your debts'!$F$11&lt;'Your debts'!$F$13),AG109,0)+IF(AND('Your debts'!$F$12&lt;&gt;"",'Your debts'!$F$13&lt;&gt;"",'Your debts'!$F$12&lt;'Your debts'!$F$13),AL109,0)+IF(AND('Your debts'!$F$14&lt;&gt;"",'Your debts'!$F$13&lt;&gt;"",'Your debts'!$F$14&lt;'Your debts'!$F$13),AV109,0)+IF(AND('Your debts'!$F$15&lt;&gt;"",'Your debts'!$F$13&lt;&gt;"",'Your debts'!$F$15&lt;'Your debts'!$F$13),BA109,0)))))</f>
        <v/>
      </c>
      <c r="AS109" s="33">
        <f>AQ109-AR109</f>
        <v/>
      </c>
      <c r="AT109" s="33">
        <f>IF(AX108&lt;=0,0,ROUND(AX108*(1+'Your debts'!$D$14/1200),2))</f>
        <v/>
      </c>
      <c r="AU109" s="33">
        <f>IF(AT109&lt;=0,0,MIN('Your debts'!$E$14,AT109))</f>
        <v/>
      </c>
      <c r="AV109" s="33">
        <f>AT109-AU109</f>
        <v/>
      </c>
      <c r="AW109" s="33">
        <f>IF('Your debts'!$F$14="",0,MIN(AV109,MAX(0,MAX(0,'Your debts'!$C$19-(G109+L109+Q109+V109+AA109+AF109+AK109+AP109+AU109+AZ109))-(IF(AND('Your debts'!$F$6&lt;&gt;"",'Your debts'!$F$14&lt;&gt;"",'Your debts'!$F$6&lt;'Your debts'!$F$14),H109,0)+IF(AND('Your debts'!$F$7&lt;&gt;"",'Your debts'!$F$14&lt;&gt;"",'Your debts'!$F$7&lt;'Your debts'!$F$14),M109,0)+IF(AND('Your debts'!$F$8&lt;&gt;"",'Your debts'!$F$14&lt;&gt;"",'Your debts'!$F$8&lt;'Your debts'!$F$14),R109,0)+IF(AND('Your debts'!$F$9&lt;&gt;"",'Your debts'!$F$14&lt;&gt;"",'Your debts'!$F$9&lt;'Your debts'!$F$14),W109,0)+IF(AND('Your debts'!$F$10&lt;&gt;"",'Your debts'!$F$14&lt;&gt;"",'Your debts'!$F$10&lt;'Your debts'!$F$14),AB109,0)+IF(AND('Your debts'!$F$11&lt;&gt;"",'Your debts'!$F$14&lt;&gt;"",'Your debts'!$F$11&lt;'Your debts'!$F$14),AG109,0)+IF(AND('Your debts'!$F$12&lt;&gt;"",'Your debts'!$F$14&lt;&gt;"",'Your debts'!$F$12&lt;'Your debts'!$F$14),AL109,0)+IF(AND('Your debts'!$F$13&lt;&gt;"",'Your debts'!$F$14&lt;&gt;"",'Your debts'!$F$13&lt;'Your debts'!$F$14),AQ109,0)+IF(AND('Your debts'!$F$15&lt;&gt;"",'Your debts'!$F$14&lt;&gt;"",'Your debts'!$F$15&lt;'Your debts'!$F$14),BA109,0)))))</f>
        <v/>
      </c>
      <c r="AX109" s="33">
        <f>AV109-AW109</f>
        <v/>
      </c>
      <c r="AY109" s="33">
        <f>IF(BC108&lt;=0,0,ROUND(BC108*(1+'Your debts'!$D$15/1200),2))</f>
        <v/>
      </c>
      <c r="AZ109" s="33">
        <f>IF(AY109&lt;=0,0,MIN('Your debts'!$E$15,AY109))</f>
        <v/>
      </c>
      <c r="BA109" s="33">
        <f>AY109-AZ109</f>
        <v/>
      </c>
      <c r="BB109" s="33">
        <f>IF('Your debts'!$F$15="",0,MIN(BA109,MAX(0,MAX(0,'Your debts'!$C$19-(G109+L109+Q109+V109+AA109+AF109+AK109+AP109+AU109+AZ109))-(IF(AND('Your debts'!$F$6&lt;&gt;"",'Your debts'!$F$15&lt;&gt;"",'Your debts'!$F$6&lt;'Your debts'!$F$15),H109,0)+IF(AND('Your debts'!$F$7&lt;&gt;"",'Your debts'!$F$15&lt;&gt;"",'Your debts'!$F$7&lt;'Your debts'!$F$15),M109,0)+IF(AND('Your debts'!$F$8&lt;&gt;"",'Your debts'!$F$15&lt;&gt;"",'Your debts'!$F$8&lt;'Your debts'!$F$15),R109,0)+IF(AND('Your debts'!$F$9&lt;&gt;"",'Your debts'!$F$15&lt;&gt;"",'Your debts'!$F$9&lt;'Your debts'!$F$15),W109,0)+IF(AND('Your debts'!$F$10&lt;&gt;"",'Your debts'!$F$15&lt;&gt;"",'Your debts'!$F$10&lt;'Your debts'!$F$15),AB109,0)+IF(AND('Your debts'!$F$11&lt;&gt;"",'Your debts'!$F$15&lt;&gt;"",'Your debts'!$F$11&lt;'Your debts'!$F$15),AG109,0)+IF(AND('Your debts'!$F$12&lt;&gt;"",'Your debts'!$F$15&lt;&gt;"",'Your debts'!$F$12&lt;'Your debts'!$F$15),AL109,0)+IF(AND('Your debts'!$F$13&lt;&gt;"",'Your debts'!$F$15&lt;&gt;"",'Your debts'!$F$13&lt;'Your debts'!$F$15),AQ109,0)+IF(AND('Your debts'!$F$14&lt;&gt;"",'Your debts'!$F$15&lt;&gt;"",'Your debts'!$F$14&lt;'Your debts'!$F$15),AV109,0)))))</f>
        <v/>
      </c>
      <c r="BC109" s="33">
        <f>BA109-BB109</f>
        <v/>
      </c>
    </row>
    <row r="110">
      <c r="A110" s="30" t="n">
        <v>95</v>
      </c>
      <c r="B110" s="31">
        <f>EDATE($B$15,95)</f>
        <v/>
      </c>
      <c r="C110" s="32">
        <f>IF(J109&lt;=0,0,F110-J109)+IF(O109&lt;=0,0,K110-O109)+IF(T109&lt;=0,0,P110-T109)+IF(Y109&lt;=0,0,U110-Y109)+IF(AD109&lt;=0,0,Z110-AD109)+IF(AI109&lt;=0,0,AE110-AI109)+IF(AN109&lt;=0,0,AJ110-AN109)+IF(AS109&lt;=0,0,AO110-AS109)+IF(AX109&lt;=0,0,AT110-AX109)+IF(BC109&lt;=0,0,AY110-BC109)</f>
        <v/>
      </c>
      <c r="D110" s="32">
        <f>G110+I110+L110+N110+Q110+S110+V110+X110+AA110+AC110+AF110+AH110+AK110+AM110+AP110+AR110+AU110+AW110+AZ110+BB110</f>
        <v/>
      </c>
      <c r="E110" s="32">
        <f>J110+O110+T110+Y110+AD110+AI110+AN110+AS110+AX110+BC110</f>
        <v/>
      </c>
      <c r="F110" s="33">
        <f>IF(J109&lt;=0,0,ROUND(J109*(1+'Your debts'!$D$6/1200),2))</f>
        <v/>
      </c>
      <c r="G110" s="33">
        <f>IF(F110&lt;=0,0,MIN('Your debts'!$E$6,F110))</f>
        <v/>
      </c>
      <c r="H110" s="33">
        <f>F110-G110</f>
        <v/>
      </c>
      <c r="I110" s="33">
        <f>IF('Your debts'!$F$6="",0,MIN(H110,MAX(0,MAX(0,'Your debts'!$C$19-(G110+L110+Q110+V110+AA110+AF110+AK110+AP110+AU110+AZ110))-(IF(AND('Your debts'!$F$7&lt;&gt;"",'Your debts'!$F$6&lt;&gt;"",'Your debts'!$F$7&lt;'Your debts'!$F$6),M110,0)+IF(AND('Your debts'!$F$8&lt;&gt;"",'Your debts'!$F$6&lt;&gt;"",'Your debts'!$F$8&lt;'Your debts'!$F$6),R110,0)+IF(AND('Your debts'!$F$9&lt;&gt;"",'Your debts'!$F$6&lt;&gt;"",'Your debts'!$F$9&lt;'Your debts'!$F$6),W110,0)+IF(AND('Your debts'!$F$10&lt;&gt;"",'Your debts'!$F$6&lt;&gt;"",'Your debts'!$F$10&lt;'Your debts'!$F$6),AB110,0)+IF(AND('Your debts'!$F$11&lt;&gt;"",'Your debts'!$F$6&lt;&gt;"",'Your debts'!$F$11&lt;'Your debts'!$F$6),AG110,0)+IF(AND('Your debts'!$F$12&lt;&gt;"",'Your debts'!$F$6&lt;&gt;"",'Your debts'!$F$12&lt;'Your debts'!$F$6),AL110,0)+IF(AND('Your debts'!$F$13&lt;&gt;"",'Your debts'!$F$6&lt;&gt;"",'Your debts'!$F$13&lt;'Your debts'!$F$6),AQ110,0)+IF(AND('Your debts'!$F$14&lt;&gt;"",'Your debts'!$F$6&lt;&gt;"",'Your debts'!$F$14&lt;'Your debts'!$F$6),AV110,0)+IF(AND('Your debts'!$F$15&lt;&gt;"",'Your debts'!$F$6&lt;&gt;"",'Your debts'!$F$15&lt;'Your debts'!$F$6),BA110,0)))))</f>
        <v/>
      </c>
      <c r="J110" s="33">
        <f>H110-I110</f>
        <v/>
      </c>
      <c r="K110" s="33">
        <f>IF(O109&lt;=0,0,ROUND(O109*(1+'Your debts'!$D$7/1200),2))</f>
        <v/>
      </c>
      <c r="L110" s="33">
        <f>IF(K110&lt;=0,0,MIN('Your debts'!$E$7,K110))</f>
        <v/>
      </c>
      <c r="M110" s="33">
        <f>K110-L110</f>
        <v/>
      </c>
      <c r="N110" s="33">
        <f>IF('Your debts'!$F$7="",0,MIN(M110,MAX(0,MAX(0,'Your debts'!$C$19-(G110+L110+Q110+V110+AA110+AF110+AK110+AP110+AU110+AZ110))-(IF(AND('Your debts'!$F$6&lt;&gt;"",'Your debts'!$F$7&lt;&gt;"",'Your debts'!$F$6&lt;'Your debts'!$F$7),H110,0)+IF(AND('Your debts'!$F$8&lt;&gt;"",'Your debts'!$F$7&lt;&gt;"",'Your debts'!$F$8&lt;'Your debts'!$F$7),R110,0)+IF(AND('Your debts'!$F$9&lt;&gt;"",'Your debts'!$F$7&lt;&gt;"",'Your debts'!$F$9&lt;'Your debts'!$F$7),W110,0)+IF(AND('Your debts'!$F$10&lt;&gt;"",'Your debts'!$F$7&lt;&gt;"",'Your debts'!$F$10&lt;'Your debts'!$F$7),AB110,0)+IF(AND('Your debts'!$F$11&lt;&gt;"",'Your debts'!$F$7&lt;&gt;"",'Your debts'!$F$11&lt;'Your debts'!$F$7),AG110,0)+IF(AND('Your debts'!$F$12&lt;&gt;"",'Your debts'!$F$7&lt;&gt;"",'Your debts'!$F$12&lt;'Your debts'!$F$7),AL110,0)+IF(AND('Your debts'!$F$13&lt;&gt;"",'Your debts'!$F$7&lt;&gt;"",'Your debts'!$F$13&lt;'Your debts'!$F$7),AQ110,0)+IF(AND('Your debts'!$F$14&lt;&gt;"",'Your debts'!$F$7&lt;&gt;"",'Your debts'!$F$14&lt;'Your debts'!$F$7),AV110,0)+IF(AND('Your debts'!$F$15&lt;&gt;"",'Your debts'!$F$7&lt;&gt;"",'Your debts'!$F$15&lt;'Your debts'!$F$7),BA110,0)))))</f>
        <v/>
      </c>
      <c r="O110" s="33">
        <f>M110-N110</f>
        <v/>
      </c>
      <c r="P110" s="33">
        <f>IF(T109&lt;=0,0,ROUND(T109*(1+'Your debts'!$D$8/1200),2))</f>
        <v/>
      </c>
      <c r="Q110" s="33">
        <f>IF(P110&lt;=0,0,MIN('Your debts'!$E$8,P110))</f>
        <v/>
      </c>
      <c r="R110" s="33">
        <f>P110-Q110</f>
        <v/>
      </c>
      <c r="S110" s="33">
        <f>IF('Your debts'!$F$8="",0,MIN(R110,MAX(0,MAX(0,'Your debts'!$C$19-(G110+L110+Q110+V110+AA110+AF110+AK110+AP110+AU110+AZ110))-(IF(AND('Your debts'!$F$6&lt;&gt;"",'Your debts'!$F$8&lt;&gt;"",'Your debts'!$F$6&lt;'Your debts'!$F$8),H110,0)+IF(AND('Your debts'!$F$7&lt;&gt;"",'Your debts'!$F$8&lt;&gt;"",'Your debts'!$F$7&lt;'Your debts'!$F$8),M110,0)+IF(AND('Your debts'!$F$9&lt;&gt;"",'Your debts'!$F$8&lt;&gt;"",'Your debts'!$F$9&lt;'Your debts'!$F$8),W110,0)+IF(AND('Your debts'!$F$10&lt;&gt;"",'Your debts'!$F$8&lt;&gt;"",'Your debts'!$F$10&lt;'Your debts'!$F$8),AB110,0)+IF(AND('Your debts'!$F$11&lt;&gt;"",'Your debts'!$F$8&lt;&gt;"",'Your debts'!$F$11&lt;'Your debts'!$F$8),AG110,0)+IF(AND('Your debts'!$F$12&lt;&gt;"",'Your debts'!$F$8&lt;&gt;"",'Your debts'!$F$12&lt;'Your debts'!$F$8),AL110,0)+IF(AND('Your debts'!$F$13&lt;&gt;"",'Your debts'!$F$8&lt;&gt;"",'Your debts'!$F$13&lt;'Your debts'!$F$8),AQ110,0)+IF(AND('Your debts'!$F$14&lt;&gt;"",'Your debts'!$F$8&lt;&gt;"",'Your debts'!$F$14&lt;'Your debts'!$F$8),AV110,0)+IF(AND('Your debts'!$F$15&lt;&gt;"",'Your debts'!$F$8&lt;&gt;"",'Your debts'!$F$15&lt;'Your debts'!$F$8),BA110,0)))))</f>
        <v/>
      </c>
      <c r="T110" s="33">
        <f>R110-S110</f>
        <v/>
      </c>
      <c r="U110" s="33">
        <f>IF(Y109&lt;=0,0,ROUND(Y109*(1+'Your debts'!$D$9/1200),2))</f>
        <v/>
      </c>
      <c r="V110" s="33">
        <f>IF(U110&lt;=0,0,MIN('Your debts'!$E$9,U110))</f>
        <v/>
      </c>
      <c r="W110" s="33">
        <f>U110-V110</f>
        <v/>
      </c>
      <c r="X110" s="33">
        <f>IF('Your debts'!$F$9="",0,MIN(W110,MAX(0,MAX(0,'Your debts'!$C$19-(G110+L110+Q110+V110+AA110+AF110+AK110+AP110+AU110+AZ110))-(IF(AND('Your debts'!$F$6&lt;&gt;"",'Your debts'!$F$9&lt;&gt;"",'Your debts'!$F$6&lt;'Your debts'!$F$9),H110,0)+IF(AND('Your debts'!$F$7&lt;&gt;"",'Your debts'!$F$9&lt;&gt;"",'Your debts'!$F$7&lt;'Your debts'!$F$9),M110,0)+IF(AND('Your debts'!$F$8&lt;&gt;"",'Your debts'!$F$9&lt;&gt;"",'Your debts'!$F$8&lt;'Your debts'!$F$9),R110,0)+IF(AND('Your debts'!$F$10&lt;&gt;"",'Your debts'!$F$9&lt;&gt;"",'Your debts'!$F$10&lt;'Your debts'!$F$9),AB110,0)+IF(AND('Your debts'!$F$11&lt;&gt;"",'Your debts'!$F$9&lt;&gt;"",'Your debts'!$F$11&lt;'Your debts'!$F$9),AG110,0)+IF(AND('Your debts'!$F$12&lt;&gt;"",'Your debts'!$F$9&lt;&gt;"",'Your debts'!$F$12&lt;'Your debts'!$F$9),AL110,0)+IF(AND('Your debts'!$F$13&lt;&gt;"",'Your debts'!$F$9&lt;&gt;"",'Your debts'!$F$13&lt;'Your debts'!$F$9),AQ110,0)+IF(AND('Your debts'!$F$14&lt;&gt;"",'Your debts'!$F$9&lt;&gt;"",'Your debts'!$F$14&lt;'Your debts'!$F$9),AV110,0)+IF(AND('Your debts'!$F$15&lt;&gt;"",'Your debts'!$F$9&lt;&gt;"",'Your debts'!$F$15&lt;'Your debts'!$F$9),BA110,0)))))</f>
        <v/>
      </c>
      <c r="Y110" s="33">
        <f>W110-X110</f>
        <v/>
      </c>
      <c r="Z110" s="33">
        <f>IF(AD109&lt;=0,0,ROUND(AD109*(1+'Your debts'!$D$10/1200),2))</f>
        <v/>
      </c>
      <c r="AA110" s="33">
        <f>IF(Z110&lt;=0,0,MIN('Your debts'!$E$10,Z110))</f>
        <v/>
      </c>
      <c r="AB110" s="33">
        <f>Z110-AA110</f>
        <v/>
      </c>
      <c r="AC110" s="33">
        <f>IF('Your debts'!$F$10="",0,MIN(AB110,MAX(0,MAX(0,'Your debts'!$C$19-(G110+L110+Q110+V110+AA110+AF110+AK110+AP110+AU110+AZ110))-(IF(AND('Your debts'!$F$6&lt;&gt;"",'Your debts'!$F$10&lt;&gt;"",'Your debts'!$F$6&lt;'Your debts'!$F$10),H110,0)+IF(AND('Your debts'!$F$7&lt;&gt;"",'Your debts'!$F$10&lt;&gt;"",'Your debts'!$F$7&lt;'Your debts'!$F$10),M110,0)+IF(AND('Your debts'!$F$8&lt;&gt;"",'Your debts'!$F$10&lt;&gt;"",'Your debts'!$F$8&lt;'Your debts'!$F$10),R110,0)+IF(AND('Your debts'!$F$9&lt;&gt;"",'Your debts'!$F$10&lt;&gt;"",'Your debts'!$F$9&lt;'Your debts'!$F$10),W110,0)+IF(AND('Your debts'!$F$11&lt;&gt;"",'Your debts'!$F$10&lt;&gt;"",'Your debts'!$F$11&lt;'Your debts'!$F$10),AG110,0)+IF(AND('Your debts'!$F$12&lt;&gt;"",'Your debts'!$F$10&lt;&gt;"",'Your debts'!$F$12&lt;'Your debts'!$F$10),AL110,0)+IF(AND('Your debts'!$F$13&lt;&gt;"",'Your debts'!$F$10&lt;&gt;"",'Your debts'!$F$13&lt;'Your debts'!$F$10),AQ110,0)+IF(AND('Your debts'!$F$14&lt;&gt;"",'Your debts'!$F$10&lt;&gt;"",'Your debts'!$F$14&lt;'Your debts'!$F$10),AV110,0)+IF(AND('Your debts'!$F$15&lt;&gt;"",'Your debts'!$F$10&lt;&gt;"",'Your debts'!$F$15&lt;'Your debts'!$F$10),BA110,0)))))</f>
        <v/>
      </c>
      <c r="AD110" s="33">
        <f>AB110-AC110</f>
        <v/>
      </c>
      <c r="AE110" s="33">
        <f>IF(AI109&lt;=0,0,ROUND(AI109*(1+'Your debts'!$D$11/1200),2))</f>
        <v/>
      </c>
      <c r="AF110" s="33">
        <f>IF(AE110&lt;=0,0,MIN('Your debts'!$E$11,AE110))</f>
        <v/>
      </c>
      <c r="AG110" s="33">
        <f>AE110-AF110</f>
        <v/>
      </c>
      <c r="AH110" s="33">
        <f>IF('Your debts'!$F$11="",0,MIN(AG110,MAX(0,MAX(0,'Your debts'!$C$19-(G110+L110+Q110+V110+AA110+AF110+AK110+AP110+AU110+AZ110))-(IF(AND('Your debts'!$F$6&lt;&gt;"",'Your debts'!$F$11&lt;&gt;"",'Your debts'!$F$6&lt;'Your debts'!$F$11),H110,0)+IF(AND('Your debts'!$F$7&lt;&gt;"",'Your debts'!$F$11&lt;&gt;"",'Your debts'!$F$7&lt;'Your debts'!$F$11),M110,0)+IF(AND('Your debts'!$F$8&lt;&gt;"",'Your debts'!$F$11&lt;&gt;"",'Your debts'!$F$8&lt;'Your debts'!$F$11),R110,0)+IF(AND('Your debts'!$F$9&lt;&gt;"",'Your debts'!$F$11&lt;&gt;"",'Your debts'!$F$9&lt;'Your debts'!$F$11),W110,0)+IF(AND('Your debts'!$F$10&lt;&gt;"",'Your debts'!$F$11&lt;&gt;"",'Your debts'!$F$10&lt;'Your debts'!$F$11),AB110,0)+IF(AND('Your debts'!$F$12&lt;&gt;"",'Your debts'!$F$11&lt;&gt;"",'Your debts'!$F$12&lt;'Your debts'!$F$11),AL110,0)+IF(AND('Your debts'!$F$13&lt;&gt;"",'Your debts'!$F$11&lt;&gt;"",'Your debts'!$F$13&lt;'Your debts'!$F$11),AQ110,0)+IF(AND('Your debts'!$F$14&lt;&gt;"",'Your debts'!$F$11&lt;&gt;"",'Your debts'!$F$14&lt;'Your debts'!$F$11),AV110,0)+IF(AND('Your debts'!$F$15&lt;&gt;"",'Your debts'!$F$11&lt;&gt;"",'Your debts'!$F$15&lt;'Your debts'!$F$11),BA110,0)))))</f>
        <v/>
      </c>
      <c r="AI110" s="33">
        <f>AG110-AH110</f>
        <v/>
      </c>
      <c r="AJ110" s="33">
        <f>IF(AN109&lt;=0,0,ROUND(AN109*(1+'Your debts'!$D$12/1200),2))</f>
        <v/>
      </c>
      <c r="AK110" s="33">
        <f>IF(AJ110&lt;=0,0,MIN('Your debts'!$E$12,AJ110))</f>
        <v/>
      </c>
      <c r="AL110" s="33">
        <f>AJ110-AK110</f>
        <v/>
      </c>
      <c r="AM110" s="33">
        <f>IF('Your debts'!$F$12="",0,MIN(AL110,MAX(0,MAX(0,'Your debts'!$C$19-(G110+L110+Q110+V110+AA110+AF110+AK110+AP110+AU110+AZ110))-(IF(AND('Your debts'!$F$6&lt;&gt;"",'Your debts'!$F$12&lt;&gt;"",'Your debts'!$F$6&lt;'Your debts'!$F$12),H110,0)+IF(AND('Your debts'!$F$7&lt;&gt;"",'Your debts'!$F$12&lt;&gt;"",'Your debts'!$F$7&lt;'Your debts'!$F$12),M110,0)+IF(AND('Your debts'!$F$8&lt;&gt;"",'Your debts'!$F$12&lt;&gt;"",'Your debts'!$F$8&lt;'Your debts'!$F$12),R110,0)+IF(AND('Your debts'!$F$9&lt;&gt;"",'Your debts'!$F$12&lt;&gt;"",'Your debts'!$F$9&lt;'Your debts'!$F$12),W110,0)+IF(AND('Your debts'!$F$10&lt;&gt;"",'Your debts'!$F$12&lt;&gt;"",'Your debts'!$F$10&lt;'Your debts'!$F$12),AB110,0)+IF(AND('Your debts'!$F$11&lt;&gt;"",'Your debts'!$F$12&lt;&gt;"",'Your debts'!$F$11&lt;'Your debts'!$F$12),AG110,0)+IF(AND('Your debts'!$F$13&lt;&gt;"",'Your debts'!$F$12&lt;&gt;"",'Your debts'!$F$13&lt;'Your debts'!$F$12),AQ110,0)+IF(AND('Your debts'!$F$14&lt;&gt;"",'Your debts'!$F$12&lt;&gt;"",'Your debts'!$F$14&lt;'Your debts'!$F$12),AV110,0)+IF(AND('Your debts'!$F$15&lt;&gt;"",'Your debts'!$F$12&lt;&gt;"",'Your debts'!$F$15&lt;'Your debts'!$F$12),BA110,0)))))</f>
        <v/>
      </c>
      <c r="AN110" s="33">
        <f>AL110-AM110</f>
        <v/>
      </c>
      <c r="AO110" s="33">
        <f>IF(AS109&lt;=0,0,ROUND(AS109*(1+'Your debts'!$D$13/1200),2))</f>
        <v/>
      </c>
      <c r="AP110" s="33">
        <f>IF(AO110&lt;=0,0,MIN('Your debts'!$E$13,AO110))</f>
        <v/>
      </c>
      <c r="AQ110" s="33">
        <f>AO110-AP110</f>
        <v/>
      </c>
      <c r="AR110" s="33">
        <f>IF('Your debts'!$F$13="",0,MIN(AQ110,MAX(0,MAX(0,'Your debts'!$C$19-(G110+L110+Q110+V110+AA110+AF110+AK110+AP110+AU110+AZ110))-(IF(AND('Your debts'!$F$6&lt;&gt;"",'Your debts'!$F$13&lt;&gt;"",'Your debts'!$F$6&lt;'Your debts'!$F$13),H110,0)+IF(AND('Your debts'!$F$7&lt;&gt;"",'Your debts'!$F$13&lt;&gt;"",'Your debts'!$F$7&lt;'Your debts'!$F$13),M110,0)+IF(AND('Your debts'!$F$8&lt;&gt;"",'Your debts'!$F$13&lt;&gt;"",'Your debts'!$F$8&lt;'Your debts'!$F$13),R110,0)+IF(AND('Your debts'!$F$9&lt;&gt;"",'Your debts'!$F$13&lt;&gt;"",'Your debts'!$F$9&lt;'Your debts'!$F$13),W110,0)+IF(AND('Your debts'!$F$10&lt;&gt;"",'Your debts'!$F$13&lt;&gt;"",'Your debts'!$F$10&lt;'Your debts'!$F$13),AB110,0)+IF(AND('Your debts'!$F$11&lt;&gt;"",'Your debts'!$F$13&lt;&gt;"",'Your debts'!$F$11&lt;'Your debts'!$F$13),AG110,0)+IF(AND('Your debts'!$F$12&lt;&gt;"",'Your debts'!$F$13&lt;&gt;"",'Your debts'!$F$12&lt;'Your debts'!$F$13),AL110,0)+IF(AND('Your debts'!$F$14&lt;&gt;"",'Your debts'!$F$13&lt;&gt;"",'Your debts'!$F$14&lt;'Your debts'!$F$13),AV110,0)+IF(AND('Your debts'!$F$15&lt;&gt;"",'Your debts'!$F$13&lt;&gt;"",'Your debts'!$F$15&lt;'Your debts'!$F$13),BA110,0)))))</f>
        <v/>
      </c>
      <c r="AS110" s="33">
        <f>AQ110-AR110</f>
        <v/>
      </c>
      <c r="AT110" s="33">
        <f>IF(AX109&lt;=0,0,ROUND(AX109*(1+'Your debts'!$D$14/1200),2))</f>
        <v/>
      </c>
      <c r="AU110" s="33">
        <f>IF(AT110&lt;=0,0,MIN('Your debts'!$E$14,AT110))</f>
        <v/>
      </c>
      <c r="AV110" s="33">
        <f>AT110-AU110</f>
        <v/>
      </c>
      <c r="AW110" s="33">
        <f>IF('Your debts'!$F$14="",0,MIN(AV110,MAX(0,MAX(0,'Your debts'!$C$19-(G110+L110+Q110+V110+AA110+AF110+AK110+AP110+AU110+AZ110))-(IF(AND('Your debts'!$F$6&lt;&gt;"",'Your debts'!$F$14&lt;&gt;"",'Your debts'!$F$6&lt;'Your debts'!$F$14),H110,0)+IF(AND('Your debts'!$F$7&lt;&gt;"",'Your debts'!$F$14&lt;&gt;"",'Your debts'!$F$7&lt;'Your debts'!$F$14),M110,0)+IF(AND('Your debts'!$F$8&lt;&gt;"",'Your debts'!$F$14&lt;&gt;"",'Your debts'!$F$8&lt;'Your debts'!$F$14),R110,0)+IF(AND('Your debts'!$F$9&lt;&gt;"",'Your debts'!$F$14&lt;&gt;"",'Your debts'!$F$9&lt;'Your debts'!$F$14),W110,0)+IF(AND('Your debts'!$F$10&lt;&gt;"",'Your debts'!$F$14&lt;&gt;"",'Your debts'!$F$10&lt;'Your debts'!$F$14),AB110,0)+IF(AND('Your debts'!$F$11&lt;&gt;"",'Your debts'!$F$14&lt;&gt;"",'Your debts'!$F$11&lt;'Your debts'!$F$14),AG110,0)+IF(AND('Your debts'!$F$12&lt;&gt;"",'Your debts'!$F$14&lt;&gt;"",'Your debts'!$F$12&lt;'Your debts'!$F$14),AL110,0)+IF(AND('Your debts'!$F$13&lt;&gt;"",'Your debts'!$F$14&lt;&gt;"",'Your debts'!$F$13&lt;'Your debts'!$F$14),AQ110,0)+IF(AND('Your debts'!$F$15&lt;&gt;"",'Your debts'!$F$14&lt;&gt;"",'Your debts'!$F$15&lt;'Your debts'!$F$14),BA110,0)))))</f>
        <v/>
      </c>
      <c r="AX110" s="33">
        <f>AV110-AW110</f>
        <v/>
      </c>
      <c r="AY110" s="33">
        <f>IF(BC109&lt;=0,0,ROUND(BC109*(1+'Your debts'!$D$15/1200),2))</f>
        <v/>
      </c>
      <c r="AZ110" s="33">
        <f>IF(AY110&lt;=0,0,MIN('Your debts'!$E$15,AY110))</f>
        <v/>
      </c>
      <c r="BA110" s="33">
        <f>AY110-AZ110</f>
        <v/>
      </c>
      <c r="BB110" s="33">
        <f>IF('Your debts'!$F$15="",0,MIN(BA110,MAX(0,MAX(0,'Your debts'!$C$19-(G110+L110+Q110+V110+AA110+AF110+AK110+AP110+AU110+AZ110))-(IF(AND('Your debts'!$F$6&lt;&gt;"",'Your debts'!$F$15&lt;&gt;"",'Your debts'!$F$6&lt;'Your debts'!$F$15),H110,0)+IF(AND('Your debts'!$F$7&lt;&gt;"",'Your debts'!$F$15&lt;&gt;"",'Your debts'!$F$7&lt;'Your debts'!$F$15),M110,0)+IF(AND('Your debts'!$F$8&lt;&gt;"",'Your debts'!$F$15&lt;&gt;"",'Your debts'!$F$8&lt;'Your debts'!$F$15),R110,0)+IF(AND('Your debts'!$F$9&lt;&gt;"",'Your debts'!$F$15&lt;&gt;"",'Your debts'!$F$9&lt;'Your debts'!$F$15),W110,0)+IF(AND('Your debts'!$F$10&lt;&gt;"",'Your debts'!$F$15&lt;&gt;"",'Your debts'!$F$10&lt;'Your debts'!$F$15),AB110,0)+IF(AND('Your debts'!$F$11&lt;&gt;"",'Your debts'!$F$15&lt;&gt;"",'Your debts'!$F$11&lt;'Your debts'!$F$15),AG110,0)+IF(AND('Your debts'!$F$12&lt;&gt;"",'Your debts'!$F$15&lt;&gt;"",'Your debts'!$F$12&lt;'Your debts'!$F$15),AL110,0)+IF(AND('Your debts'!$F$13&lt;&gt;"",'Your debts'!$F$15&lt;&gt;"",'Your debts'!$F$13&lt;'Your debts'!$F$15),AQ110,0)+IF(AND('Your debts'!$F$14&lt;&gt;"",'Your debts'!$F$15&lt;&gt;"",'Your debts'!$F$14&lt;'Your debts'!$F$15),AV110,0)))))</f>
        <v/>
      </c>
      <c r="BC110" s="33">
        <f>BA110-BB110</f>
        <v/>
      </c>
    </row>
    <row r="111">
      <c r="A111" s="30" t="n">
        <v>96</v>
      </c>
      <c r="B111" s="31">
        <f>EDATE($B$15,96)</f>
        <v/>
      </c>
      <c r="C111" s="32">
        <f>IF(J110&lt;=0,0,F111-J110)+IF(O110&lt;=0,0,K111-O110)+IF(T110&lt;=0,0,P111-T110)+IF(Y110&lt;=0,0,U111-Y110)+IF(AD110&lt;=0,0,Z111-AD110)+IF(AI110&lt;=0,0,AE111-AI110)+IF(AN110&lt;=0,0,AJ111-AN110)+IF(AS110&lt;=0,0,AO111-AS110)+IF(AX110&lt;=0,0,AT111-AX110)+IF(BC110&lt;=0,0,AY111-BC110)</f>
        <v/>
      </c>
      <c r="D111" s="32">
        <f>G111+I111+L111+N111+Q111+S111+V111+X111+AA111+AC111+AF111+AH111+AK111+AM111+AP111+AR111+AU111+AW111+AZ111+BB111</f>
        <v/>
      </c>
      <c r="E111" s="32">
        <f>J111+O111+T111+Y111+AD111+AI111+AN111+AS111+AX111+BC111</f>
        <v/>
      </c>
      <c r="F111" s="33">
        <f>IF(J110&lt;=0,0,ROUND(J110*(1+'Your debts'!$D$6/1200),2))</f>
        <v/>
      </c>
      <c r="G111" s="33">
        <f>IF(F111&lt;=0,0,MIN('Your debts'!$E$6,F111))</f>
        <v/>
      </c>
      <c r="H111" s="33">
        <f>F111-G111</f>
        <v/>
      </c>
      <c r="I111" s="33">
        <f>IF('Your debts'!$F$6="",0,MIN(H111,MAX(0,MAX(0,'Your debts'!$C$19-(G111+L111+Q111+V111+AA111+AF111+AK111+AP111+AU111+AZ111))-(IF(AND('Your debts'!$F$7&lt;&gt;"",'Your debts'!$F$6&lt;&gt;"",'Your debts'!$F$7&lt;'Your debts'!$F$6),M111,0)+IF(AND('Your debts'!$F$8&lt;&gt;"",'Your debts'!$F$6&lt;&gt;"",'Your debts'!$F$8&lt;'Your debts'!$F$6),R111,0)+IF(AND('Your debts'!$F$9&lt;&gt;"",'Your debts'!$F$6&lt;&gt;"",'Your debts'!$F$9&lt;'Your debts'!$F$6),W111,0)+IF(AND('Your debts'!$F$10&lt;&gt;"",'Your debts'!$F$6&lt;&gt;"",'Your debts'!$F$10&lt;'Your debts'!$F$6),AB111,0)+IF(AND('Your debts'!$F$11&lt;&gt;"",'Your debts'!$F$6&lt;&gt;"",'Your debts'!$F$11&lt;'Your debts'!$F$6),AG111,0)+IF(AND('Your debts'!$F$12&lt;&gt;"",'Your debts'!$F$6&lt;&gt;"",'Your debts'!$F$12&lt;'Your debts'!$F$6),AL111,0)+IF(AND('Your debts'!$F$13&lt;&gt;"",'Your debts'!$F$6&lt;&gt;"",'Your debts'!$F$13&lt;'Your debts'!$F$6),AQ111,0)+IF(AND('Your debts'!$F$14&lt;&gt;"",'Your debts'!$F$6&lt;&gt;"",'Your debts'!$F$14&lt;'Your debts'!$F$6),AV111,0)+IF(AND('Your debts'!$F$15&lt;&gt;"",'Your debts'!$F$6&lt;&gt;"",'Your debts'!$F$15&lt;'Your debts'!$F$6),BA111,0)))))</f>
        <v/>
      </c>
      <c r="J111" s="33">
        <f>H111-I111</f>
        <v/>
      </c>
      <c r="K111" s="33">
        <f>IF(O110&lt;=0,0,ROUND(O110*(1+'Your debts'!$D$7/1200),2))</f>
        <v/>
      </c>
      <c r="L111" s="33">
        <f>IF(K111&lt;=0,0,MIN('Your debts'!$E$7,K111))</f>
        <v/>
      </c>
      <c r="M111" s="33">
        <f>K111-L111</f>
        <v/>
      </c>
      <c r="N111" s="33">
        <f>IF('Your debts'!$F$7="",0,MIN(M111,MAX(0,MAX(0,'Your debts'!$C$19-(G111+L111+Q111+V111+AA111+AF111+AK111+AP111+AU111+AZ111))-(IF(AND('Your debts'!$F$6&lt;&gt;"",'Your debts'!$F$7&lt;&gt;"",'Your debts'!$F$6&lt;'Your debts'!$F$7),H111,0)+IF(AND('Your debts'!$F$8&lt;&gt;"",'Your debts'!$F$7&lt;&gt;"",'Your debts'!$F$8&lt;'Your debts'!$F$7),R111,0)+IF(AND('Your debts'!$F$9&lt;&gt;"",'Your debts'!$F$7&lt;&gt;"",'Your debts'!$F$9&lt;'Your debts'!$F$7),W111,0)+IF(AND('Your debts'!$F$10&lt;&gt;"",'Your debts'!$F$7&lt;&gt;"",'Your debts'!$F$10&lt;'Your debts'!$F$7),AB111,0)+IF(AND('Your debts'!$F$11&lt;&gt;"",'Your debts'!$F$7&lt;&gt;"",'Your debts'!$F$11&lt;'Your debts'!$F$7),AG111,0)+IF(AND('Your debts'!$F$12&lt;&gt;"",'Your debts'!$F$7&lt;&gt;"",'Your debts'!$F$12&lt;'Your debts'!$F$7),AL111,0)+IF(AND('Your debts'!$F$13&lt;&gt;"",'Your debts'!$F$7&lt;&gt;"",'Your debts'!$F$13&lt;'Your debts'!$F$7),AQ111,0)+IF(AND('Your debts'!$F$14&lt;&gt;"",'Your debts'!$F$7&lt;&gt;"",'Your debts'!$F$14&lt;'Your debts'!$F$7),AV111,0)+IF(AND('Your debts'!$F$15&lt;&gt;"",'Your debts'!$F$7&lt;&gt;"",'Your debts'!$F$15&lt;'Your debts'!$F$7),BA111,0)))))</f>
        <v/>
      </c>
      <c r="O111" s="33">
        <f>M111-N111</f>
        <v/>
      </c>
      <c r="P111" s="33">
        <f>IF(T110&lt;=0,0,ROUND(T110*(1+'Your debts'!$D$8/1200),2))</f>
        <v/>
      </c>
      <c r="Q111" s="33">
        <f>IF(P111&lt;=0,0,MIN('Your debts'!$E$8,P111))</f>
        <v/>
      </c>
      <c r="R111" s="33">
        <f>P111-Q111</f>
        <v/>
      </c>
      <c r="S111" s="33">
        <f>IF('Your debts'!$F$8="",0,MIN(R111,MAX(0,MAX(0,'Your debts'!$C$19-(G111+L111+Q111+V111+AA111+AF111+AK111+AP111+AU111+AZ111))-(IF(AND('Your debts'!$F$6&lt;&gt;"",'Your debts'!$F$8&lt;&gt;"",'Your debts'!$F$6&lt;'Your debts'!$F$8),H111,0)+IF(AND('Your debts'!$F$7&lt;&gt;"",'Your debts'!$F$8&lt;&gt;"",'Your debts'!$F$7&lt;'Your debts'!$F$8),M111,0)+IF(AND('Your debts'!$F$9&lt;&gt;"",'Your debts'!$F$8&lt;&gt;"",'Your debts'!$F$9&lt;'Your debts'!$F$8),W111,0)+IF(AND('Your debts'!$F$10&lt;&gt;"",'Your debts'!$F$8&lt;&gt;"",'Your debts'!$F$10&lt;'Your debts'!$F$8),AB111,0)+IF(AND('Your debts'!$F$11&lt;&gt;"",'Your debts'!$F$8&lt;&gt;"",'Your debts'!$F$11&lt;'Your debts'!$F$8),AG111,0)+IF(AND('Your debts'!$F$12&lt;&gt;"",'Your debts'!$F$8&lt;&gt;"",'Your debts'!$F$12&lt;'Your debts'!$F$8),AL111,0)+IF(AND('Your debts'!$F$13&lt;&gt;"",'Your debts'!$F$8&lt;&gt;"",'Your debts'!$F$13&lt;'Your debts'!$F$8),AQ111,0)+IF(AND('Your debts'!$F$14&lt;&gt;"",'Your debts'!$F$8&lt;&gt;"",'Your debts'!$F$14&lt;'Your debts'!$F$8),AV111,0)+IF(AND('Your debts'!$F$15&lt;&gt;"",'Your debts'!$F$8&lt;&gt;"",'Your debts'!$F$15&lt;'Your debts'!$F$8),BA111,0)))))</f>
        <v/>
      </c>
      <c r="T111" s="33">
        <f>R111-S111</f>
        <v/>
      </c>
      <c r="U111" s="33">
        <f>IF(Y110&lt;=0,0,ROUND(Y110*(1+'Your debts'!$D$9/1200),2))</f>
        <v/>
      </c>
      <c r="V111" s="33">
        <f>IF(U111&lt;=0,0,MIN('Your debts'!$E$9,U111))</f>
        <v/>
      </c>
      <c r="W111" s="33">
        <f>U111-V111</f>
        <v/>
      </c>
      <c r="X111" s="33">
        <f>IF('Your debts'!$F$9="",0,MIN(W111,MAX(0,MAX(0,'Your debts'!$C$19-(G111+L111+Q111+V111+AA111+AF111+AK111+AP111+AU111+AZ111))-(IF(AND('Your debts'!$F$6&lt;&gt;"",'Your debts'!$F$9&lt;&gt;"",'Your debts'!$F$6&lt;'Your debts'!$F$9),H111,0)+IF(AND('Your debts'!$F$7&lt;&gt;"",'Your debts'!$F$9&lt;&gt;"",'Your debts'!$F$7&lt;'Your debts'!$F$9),M111,0)+IF(AND('Your debts'!$F$8&lt;&gt;"",'Your debts'!$F$9&lt;&gt;"",'Your debts'!$F$8&lt;'Your debts'!$F$9),R111,0)+IF(AND('Your debts'!$F$10&lt;&gt;"",'Your debts'!$F$9&lt;&gt;"",'Your debts'!$F$10&lt;'Your debts'!$F$9),AB111,0)+IF(AND('Your debts'!$F$11&lt;&gt;"",'Your debts'!$F$9&lt;&gt;"",'Your debts'!$F$11&lt;'Your debts'!$F$9),AG111,0)+IF(AND('Your debts'!$F$12&lt;&gt;"",'Your debts'!$F$9&lt;&gt;"",'Your debts'!$F$12&lt;'Your debts'!$F$9),AL111,0)+IF(AND('Your debts'!$F$13&lt;&gt;"",'Your debts'!$F$9&lt;&gt;"",'Your debts'!$F$13&lt;'Your debts'!$F$9),AQ111,0)+IF(AND('Your debts'!$F$14&lt;&gt;"",'Your debts'!$F$9&lt;&gt;"",'Your debts'!$F$14&lt;'Your debts'!$F$9),AV111,0)+IF(AND('Your debts'!$F$15&lt;&gt;"",'Your debts'!$F$9&lt;&gt;"",'Your debts'!$F$15&lt;'Your debts'!$F$9),BA111,0)))))</f>
        <v/>
      </c>
      <c r="Y111" s="33">
        <f>W111-X111</f>
        <v/>
      </c>
      <c r="Z111" s="33">
        <f>IF(AD110&lt;=0,0,ROUND(AD110*(1+'Your debts'!$D$10/1200),2))</f>
        <v/>
      </c>
      <c r="AA111" s="33">
        <f>IF(Z111&lt;=0,0,MIN('Your debts'!$E$10,Z111))</f>
        <v/>
      </c>
      <c r="AB111" s="33">
        <f>Z111-AA111</f>
        <v/>
      </c>
      <c r="AC111" s="33">
        <f>IF('Your debts'!$F$10="",0,MIN(AB111,MAX(0,MAX(0,'Your debts'!$C$19-(G111+L111+Q111+V111+AA111+AF111+AK111+AP111+AU111+AZ111))-(IF(AND('Your debts'!$F$6&lt;&gt;"",'Your debts'!$F$10&lt;&gt;"",'Your debts'!$F$6&lt;'Your debts'!$F$10),H111,0)+IF(AND('Your debts'!$F$7&lt;&gt;"",'Your debts'!$F$10&lt;&gt;"",'Your debts'!$F$7&lt;'Your debts'!$F$10),M111,0)+IF(AND('Your debts'!$F$8&lt;&gt;"",'Your debts'!$F$10&lt;&gt;"",'Your debts'!$F$8&lt;'Your debts'!$F$10),R111,0)+IF(AND('Your debts'!$F$9&lt;&gt;"",'Your debts'!$F$10&lt;&gt;"",'Your debts'!$F$9&lt;'Your debts'!$F$10),W111,0)+IF(AND('Your debts'!$F$11&lt;&gt;"",'Your debts'!$F$10&lt;&gt;"",'Your debts'!$F$11&lt;'Your debts'!$F$10),AG111,0)+IF(AND('Your debts'!$F$12&lt;&gt;"",'Your debts'!$F$10&lt;&gt;"",'Your debts'!$F$12&lt;'Your debts'!$F$10),AL111,0)+IF(AND('Your debts'!$F$13&lt;&gt;"",'Your debts'!$F$10&lt;&gt;"",'Your debts'!$F$13&lt;'Your debts'!$F$10),AQ111,0)+IF(AND('Your debts'!$F$14&lt;&gt;"",'Your debts'!$F$10&lt;&gt;"",'Your debts'!$F$14&lt;'Your debts'!$F$10),AV111,0)+IF(AND('Your debts'!$F$15&lt;&gt;"",'Your debts'!$F$10&lt;&gt;"",'Your debts'!$F$15&lt;'Your debts'!$F$10),BA111,0)))))</f>
        <v/>
      </c>
      <c r="AD111" s="33">
        <f>AB111-AC111</f>
        <v/>
      </c>
      <c r="AE111" s="33">
        <f>IF(AI110&lt;=0,0,ROUND(AI110*(1+'Your debts'!$D$11/1200),2))</f>
        <v/>
      </c>
      <c r="AF111" s="33">
        <f>IF(AE111&lt;=0,0,MIN('Your debts'!$E$11,AE111))</f>
        <v/>
      </c>
      <c r="AG111" s="33">
        <f>AE111-AF111</f>
        <v/>
      </c>
      <c r="AH111" s="33">
        <f>IF('Your debts'!$F$11="",0,MIN(AG111,MAX(0,MAX(0,'Your debts'!$C$19-(G111+L111+Q111+V111+AA111+AF111+AK111+AP111+AU111+AZ111))-(IF(AND('Your debts'!$F$6&lt;&gt;"",'Your debts'!$F$11&lt;&gt;"",'Your debts'!$F$6&lt;'Your debts'!$F$11),H111,0)+IF(AND('Your debts'!$F$7&lt;&gt;"",'Your debts'!$F$11&lt;&gt;"",'Your debts'!$F$7&lt;'Your debts'!$F$11),M111,0)+IF(AND('Your debts'!$F$8&lt;&gt;"",'Your debts'!$F$11&lt;&gt;"",'Your debts'!$F$8&lt;'Your debts'!$F$11),R111,0)+IF(AND('Your debts'!$F$9&lt;&gt;"",'Your debts'!$F$11&lt;&gt;"",'Your debts'!$F$9&lt;'Your debts'!$F$11),W111,0)+IF(AND('Your debts'!$F$10&lt;&gt;"",'Your debts'!$F$11&lt;&gt;"",'Your debts'!$F$10&lt;'Your debts'!$F$11),AB111,0)+IF(AND('Your debts'!$F$12&lt;&gt;"",'Your debts'!$F$11&lt;&gt;"",'Your debts'!$F$12&lt;'Your debts'!$F$11),AL111,0)+IF(AND('Your debts'!$F$13&lt;&gt;"",'Your debts'!$F$11&lt;&gt;"",'Your debts'!$F$13&lt;'Your debts'!$F$11),AQ111,0)+IF(AND('Your debts'!$F$14&lt;&gt;"",'Your debts'!$F$11&lt;&gt;"",'Your debts'!$F$14&lt;'Your debts'!$F$11),AV111,0)+IF(AND('Your debts'!$F$15&lt;&gt;"",'Your debts'!$F$11&lt;&gt;"",'Your debts'!$F$15&lt;'Your debts'!$F$11),BA111,0)))))</f>
        <v/>
      </c>
      <c r="AI111" s="33">
        <f>AG111-AH111</f>
        <v/>
      </c>
      <c r="AJ111" s="33">
        <f>IF(AN110&lt;=0,0,ROUND(AN110*(1+'Your debts'!$D$12/1200),2))</f>
        <v/>
      </c>
      <c r="AK111" s="33">
        <f>IF(AJ111&lt;=0,0,MIN('Your debts'!$E$12,AJ111))</f>
        <v/>
      </c>
      <c r="AL111" s="33">
        <f>AJ111-AK111</f>
        <v/>
      </c>
      <c r="AM111" s="33">
        <f>IF('Your debts'!$F$12="",0,MIN(AL111,MAX(0,MAX(0,'Your debts'!$C$19-(G111+L111+Q111+V111+AA111+AF111+AK111+AP111+AU111+AZ111))-(IF(AND('Your debts'!$F$6&lt;&gt;"",'Your debts'!$F$12&lt;&gt;"",'Your debts'!$F$6&lt;'Your debts'!$F$12),H111,0)+IF(AND('Your debts'!$F$7&lt;&gt;"",'Your debts'!$F$12&lt;&gt;"",'Your debts'!$F$7&lt;'Your debts'!$F$12),M111,0)+IF(AND('Your debts'!$F$8&lt;&gt;"",'Your debts'!$F$12&lt;&gt;"",'Your debts'!$F$8&lt;'Your debts'!$F$12),R111,0)+IF(AND('Your debts'!$F$9&lt;&gt;"",'Your debts'!$F$12&lt;&gt;"",'Your debts'!$F$9&lt;'Your debts'!$F$12),W111,0)+IF(AND('Your debts'!$F$10&lt;&gt;"",'Your debts'!$F$12&lt;&gt;"",'Your debts'!$F$10&lt;'Your debts'!$F$12),AB111,0)+IF(AND('Your debts'!$F$11&lt;&gt;"",'Your debts'!$F$12&lt;&gt;"",'Your debts'!$F$11&lt;'Your debts'!$F$12),AG111,0)+IF(AND('Your debts'!$F$13&lt;&gt;"",'Your debts'!$F$12&lt;&gt;"",'Your debts'!$F$13&lt;'Your debts'!$F$12),AQ111,0)+IF(AND('Your debts'!$F$14&lt;&gt;"",'Your debts'!$F$12&lt;&gt;"",'Your debts'!$F$14&lt;'Your debts'!$F$12),AV111,0)+IF(AND('Your debts'!$F$15&lt;&gt;"",'Your debts'!$F$12&lt;&gt;"",'Your debts'!$F$15&lt;'Your debts'!$F$12),BA111,0)))))</f>
        <v/>
      </c>
      <c r="AN111" s="33">
        <f>AL111-AM111</f>
        <v/>
      </c>
      <c r="AO111" s="33">
        <f>IF(AS110&lt;=0,0,ROUND(AS110*(1+'Your debts'!$D$13/1200),2))</f>
        <v/>
      </c>
      <c r="AP111" s="33">
        <f>IF(AO111&lt;=0,0,MIN('Your debts'!$E$13,AO111))</f>
        <v/>
      </c>
      <c r="AQ111" s="33">
        <f>AO111-AP111</f>
        <v/>
      </c>
      <c r="AR111" s="33">
        <f>IF('Your debts'!$F$13="",0,MIN(AQ111,MAX(0,MAX(0,'Your debts'!$C$19-(G111+L111+Q111+V111+AA111+AF111+AK111+AP111+AU111+AZ111))-(IF(AND('Your debts'!$F$6&lt;&gt;"",'Your debts'!$F$13&lt;&gt;"",'Your debts'!$F$6&lt;'Your debts'!$F$13),H111,0)+IF(AND('Your debts'!$F$7&lt;&gt;"",'Your debts'!$F$13&lt;&gt;"",'Your debts'!$F$7&lt;'Your debts'!$F$13),M111,0)+IF(AND('Your debts'!$F$8&lt;&gt;"",'Your debts'!$F$13&lt;&gt;"",'Your debts'!$F$8&lt;'Your debts'!$F$13),R111,0)+IF(AND('Your debts'!$F$9&lt;&gt;"",'Your debts'!$F$13&lt;&gt;"",'Your debts'!$F$9&lt;'Your debts'!$F$13),W111,0)+IF(AND('Your debts'!$F$10&lt;&gt;"",'Your debts'!$F$13&lt;&gt;"",'Your debts'!$F$10&lt;'Your debts'!$F$13),AB111,0)+IF(AND('Your debts'!$F$11&lt;&gt;"",'Your debts'!$F$13&lt;&gt;"",'Your debts'!$F$11&lt;'Your debts'!$F$13),AG111,0)+IF(AND('Your debts'!$F$12&lt;&gt;"",'Your debts'!$F$13&lt;&gt;"",'Your debts'!$F$12&lt;'Your debts'!$F$13),AL111,0)+IF(AND('Your debts'!$F$14&lt;&gt;"",'Your debts'!$F$13&lt;&gt;"",'Your debts'!$F$14&lt;'Your debts'!$F$13),AV111,0)+IF(AND('Your debts'!$F$15&lt;&gt;"",'Your debts'!$F$13&lt;&gt;"",'Your debts'!$F$15&lt;'Your debts'!$F$13),BA111,0)))))</f>
        <v/>
      </c>
      <c r="AS111" s="33">
        <f>AQ111-AR111</f>
        <v/>
      </c>
      <c r="AT111" s="33">
        <f>IF(AX110&lt;=0,0,ROUND(AX110*(1+'Your debts'!$D$14/1200),2))</f>
        <v/>
      </c>
      <c r="AU111" s="33">
        <f>IF(AT111&lt;=0,0,MIN('Your debts'!$E$14,AT111))</f>
        <v/>
      </c>
      <c r="AV111" s="33">
        <f>AT111-AU111</f>
        <v/>
      </c>
      <c r="AW111" s="33">
        <f>IF('Your debts'!$F$14="",0,MIN(AV111,MAX(0,MAX(0,'Your debts'!$C$19-(G111+L111+Q111+V111+AA111+AF111+AK111+AP111+AU111+AZ111))-(IF(AND('Your debts'!$F$6&lt;&gt;"",'Your debts'!$F$14&lt;&gt;"",'Your debts'!$F$6&lt;'Your debts'!$F$14),H111,0)+IF(AND('Your debts'!$F$7&lt;&gt;"",'Your debts'!$F$14&lt;&gt;"",'Your debts'!$F$7&lt;'Your debts'!$F$14),M111,0)+IF(AND('Your debts'!$F$8&lt;&gt;"",'Your debts'!$F$14&lt;&gt;"",'Your debts'!$F$8&lt;'Your debts'!$F$14),R111,0)+IF(AND('Your debts'!$F$9&lt;&gt;"",'Your debts'!$F$14&lt;&gt;"",'Your debts'!$F$9&lt;'Your debts'!$F$14),W111,0)+IF(AND('Your debts'!$F$10&lt;&gt;"",'Your debts'!$F$14&lt;&gt;"",'Your debts'!$F$10&lt;'Your debts'!$F$14),AB111,0)+IF(AND('Your debts'!$F$11&lt;&gt;"",'Your debts'!$F$14&lt;&gt;"",'Your debts'!$F$11&lt;'Your debts'!$F$14),AG111,0)+IF(AND('Your debts'!$F$12&lt;&gt;"",'Your debts'!$F$14&lt;&gt;"",'Your debts'!$F$12&lt;'Your debts'!$F$14),AL111,0)+IF(AND('Your debts'!$F$13&lt;&gt;"",'Your debts'!$F$14&lt;&gt;"",'Your debts'!$F$13&lt;'Your debts'!$F$14),AQ111,0)+IF(AND('Your debts'!$F$15&lt;&gt;"",'Your debts'!$F$14&lt;&gt;"",'Your debts'!$F$15&lt;'Your debts'!$F$14),BA111,0)))))</f>
        <v/>
      </c>
      <c r="AX111" s="33">
        <f>AV111-AW111</f>
        <v/>
      </c>
      <c r="AY111" s="33">
        <f>IF(BC110&lt;=0,0,ROUND(BC110*(1+'Your debts'!$D$15/1200),2))</f>
        <v/>
      </c>
      <c r="AZ111" s="33">
        <f>IF(AY111&lt;=0,0,MIN('Your debts'!$E$15,AY111))</f>
        <v/>
      </c>
      <c r="BA111" s="33">
        <f>AY111-AZ111</f>
        <v/>
      </c>
      <c r="BB111" s="33">
        <f>IF('Your debts'!$F$15="",0,MIN(BA111,MAX(0,MAX(0,'Your debts'!$C$19-(G111+L111+Q111+V111+AA111+AF111+AK111+AP111+AU111+AZ111))-(IF(AND('Your debts'!$F$6&lt;&gt;"",'Your debts'!$F$15&lt;&gt;"",'Your debts'!$F$6&lt;'Your debts'!$F$15),H111,0)+IF(AND('Your debts'!$F$7&lt;&gt;"",'Your debts'!$F$15&lt;&gt;"",'Your debts'!$F$7&lt;'Your debts'!$F$15),M111,0)+IF(AND('Your debts'!$F$8&lt;&gt;"",'Your debts'!$F$15&lt;&gt;"",'Your debts'!$F$8&lt;'Your debts'!$F$15),R111,0)+IF(AND('Your debts'!$F$9&lt;&gt;"",'Your debts'!$F$15&lt;&gt;"",'Your debts'!$F$9&lt;'Your debts'!$F$15),W111,0)+IF(AND('Your debts'!$F$10&lt;&gt;"",'Your debts'!$F$15&lt;&gt;"",'Your debts'!$F$10&lt;'Your debts'!$F$15),AB111,0)+IF(AND('Your debts'!$F$11&lt;&gt;"",'Your debts'!$F$15&lt;&gt;"",'Your debts'!$F$11&lt;'Your debts'!$F$15),AG111,0)+IF(AND('Your debts'!$F$12&lt;&gt;"",'Your debts'!$F$15&lt;&gt;"",'Your debts'!$F$12&lt;'Your debts'!$F$15),AL111,0)+IF(AND('Your debts'!$F$13&lt;&gt;"",'Your debts'!$F$15&lt;&gt;"",'Your debts'!$F$13&lt;'Your debts'!$F$15),AQ111,0)+IF(AND('Your debts'!$F$14&lt;&gt;"",'Your debts'!$F$15&lt;&gt;"",'Your debts'!$F$14&lt;'Your debts'!$F$15),AV111,0)))))</f>
        <v/>
      </c>
      <c r="BC111" s="33">
        <f>BA111-BB111</f>
        <v/>
      </c>
    </row>
    <row r="112">
      <c r="A112" s="30" t="n">
        <v>97</v>
      </c>
      <c r="B112" s="31">
        <f>EDATE($B$15,97)</f>
        <v/>
      </c>
      <c r="C112" s="32">
        <f>IF(J111&lt;=0,0,F112-J111)+IF(O111&lt;=0,0,K112-O111)+IF(T111&lt;=0,0,P112-T111)+IF(Y111&lt;=0,0,U112-Y111)+IF(AD111&lt;=0,0,Z112-AD111)+IF(AI111&lt;=0,0,AE112-AI111)+IF(AN111&lt;=0,0,AJ112-AN111)+IF(AS111&lt;=0,0,AO112-AS111)+IF(AX111&lt;=0,0,AT112-AX111)+IF(BC111&lt;=0,0,AY112-BC111)</f>
        <v/>
      </c>
      <c r="D112" s="32">
        <f>G112+I112+L112+N112+Q112+S112+V112+X112+AA112+AC112+AF112+AH112+AK112+AM112+AP112+AR112+AU112+AW112+AZ112+BB112</f>
        <v/>
      </c>
      <c r="E112" s="32">
        <f>J112+O112+T112+Y112+AD112+AI112+AN112+AS112+AX112+BC112</f>
        <v/>
      </c>
      <c r="F112" s="33">
        <f>IF(J111&lt;=0,0,ROUND(J111*(1+'Your debts'!$D$6/1200),2))</f>
        <v/>
      </c>
      <c r="G112" s="33">
        <f>IF(F112&lt;=0,0,MIN('Your debts'!$E$6,F112))</f>
        <v/>
      </c>
      <c r="H112" s="33">
        <f>F112-G112</f>
        <v/>
      </c>
      <c r="I112" s="33">
        <f>IF('Your debts'!$F$6="",0,MIN(H112,MAX(0,MAX(0,'Your debts'!$C$19-(G112+L112+Q112+V112+AA112+AF112+AK112+AP112+AU112+AZ112))-(IF(AND('Your debts'!$F$7&lt;&gt;"",'Your debts'!$F$6&lt;&gt;"",'Your debts'!$F$7&lt;'Your debts'!$F$6),M112,0)+IF(AND('Your debts'!$F$8&lt;&gt;"",'Your debts'!$F$6&lt;&gt;"",'Your debts'!$F$8&lt;'Your debts'!$F$6),R112,0)+IF(AND('Your debts'!$F$9&lt;&gt;"",'Your debts'!$F$6&lt;&gt;"",'Your debts'!$F$9&lt;'Your debts'!$F$6),W112,0)+IF(AND('Your debts'!$F$10&lt;&gt;"",'Your debts'!$F$6&lt;&gt;"",'Your debts'!$F$10&lt;'Your debts'!$F$6),AB112,0)+IF(AND('Your debts'!$F$11&lt;&gt;"",'Your debts'!$F$6&lt;&gt;"",'Your debts'!$F$11&lt;'Your debts'!$F$6),AG112,0)+IF(AND('Your debts'!$F$12&lt;&gt;"",'Your debts'!$F$6&lt;&gt;"",'Your debts'!$F$12&lt;'Your debts'!$F$6),AL112,0)+IF(AND('Your debts'!$F$13&lt;&gt;"",'Your debts'!$F$6&lt;&gt;"",'Your debts'!$F$13&lt;'Your debts'!$F$6),AQ112,0)+IF(AND('Your debts'!$F$14&lt;&gt;"",'Your debts'!$F$6&lt;&gt;"",'Your debts'!$F$14&lt;'Your debts'!$F$6),AV112,0)+IF(AND('Your debts'!$F$15&lt;&gt;"",'Your debts'!$F$6&lt;&gt;"",'Your debts'!$F$15&lt;'Your debts'!$F$6),BA112,0)))))</f>
        <v/>
      </c>
      <c r="J112" s="33">
        <f>H112-I112</f>
        <v/>
      </c>
      <c r="K112" s="33">
        <f>IF(O111&lt;=0,0,ROUND(O111*(1+'Your debts'!$D$7/1200),2))</f>
        <v/>
      </c>
      <c r="L112" s="33">
        <f>IF(K112&lt;=0,0,MIN('Your debts'!$E$7,K112))</f>
        <v/>
      </c>
      <c r="M112" s="33">
        <f>K112-L112</f>
        <v/>
      </c>
      <c r="N112" s="33">
        <f>IF('Your debts'!$F$7="",0,MIN(M112,MAX(0,MAX(0,'Your debts'!$C$19-(G112+L112+Q112+V112+AA112+AF112+AK112+AP112+AU112+AZ112))-(IF(AND('Your debts'!$F$6&lt;&gt;"",'Your debts'!$F$7&lt;&gt;"",'Your debts'!$F$6&lt;'Your debts'!$F$7),H112,0)+IF(AND('Your debts'!$F$8&lt;&gt;"",'Your debts'!$F$7&lt;&gt;"",'Your debts'!$F$8&lt;'Your debts'!$F$7),R112,0)+IF(AND('Your debts'!$F$9&lt;&gt;"",'Your debts'!$F$7&lt;&gt;"",'Your debts'!$F$9&lt;'Your debts'!$F$7),W112,0)+IF(AND('Your debts'!$F$10&lt;&gt;"",'Your debts'!$F$7&lt;&gt;"",'Your debts'!$F$10&lt;'Your debts'!$F$7),AB112,0)+IF(AND('Your debts'!$F$11&lt;&gt;"",'Your debts'!$F$7&lt;&gt;"",'Your debts'!$F$11&lt;'Your debts'!$F$7),AG112,0)+IF(AND('Your debts'!$F$12&lt;&gt;"",'Your debts'!$F$7&lt;&gt;"",'Your debts'!$F$12&lt;'Your debts'!$F$7),AL112,0)+IF(AND('Your debts'!$F$13&lt;&gt;"",'Your debts'!$F$7&lt;&gt;"",'Your debts'!$F$13&lt;'Your debts'!$F$7),AQ112,0)+IF(AND('Your debts'!$F$14&lt;&gt;"",'Your debts'!$F$7&lt;&gt;"",'Your debts'!$F$14&lt;'Your debts'!$F$7),AV112,0)+IF(AND('Your debts'!$F$15&lt;&gt;"",'Your debts'!$F$7&lt;&gt;"",'Your debts'!$F$15&lt;'Your debts'!$F$7),BA112,0)))))</f>
        <v/>
      </c>
      <c r="O112" s="33">
        <f>M112-N112</f>
        <v/>
      </c>
      <c r="P112" s="33">
        <f>IF(T111&lt;=0,0,ROUND(T111*(1+'Your debts'!$D$8/1200),2))</f>
        <v/>
      </c>
      <c r="Q112" s="33">
        <f>IF(P112&lt;=0,0,MIN('Your debts'!$E$8,P112))</f>
        <v/>
      </c>
      <c r="R112" s="33">
        <f>P112-Q112</f>
        <v/>
      </c>
      <c r="S112" s="33">
        <f>IF('Your debts'!$F$8="",0,MIN(R112,MAX(0,MAX(0,'Your debts'!$C$19-(G112+L112+Q112+V112+AA112+AF112+AK112+AP112+AU112+AZ112))-(IF(AND('Your debts'!$F$6&lt;&gt;"",'Your debts'!$F$8&lt;&gt;"",'Your debts'!$F$6&lt;'Your debts'!$F$8),H112,0)+IF(AND('Your debts'!$F$7&lt;&gt;"",'Your debts'!$F$8&lt;&gt;"",'Your debts'!$F$7&lt;'Your debts'!$F$8),M112,0)+IF(AND('Your debts'!$F$9&lt;&gt;"",'Your debts'!$F$8&lt;&gt;"",'Your debts'!$F$9&lt;'Your debts'!$F$8),W112,0)+IF(AND('Your debts'!$F$10&lt;&gt;"",'Your debts'!$F$8&lt;&gt;"",'Your debts'!$F$10&lt;'Your debts'!$F$8),AB112,0)+IF(AND('Your debts'!$F$11&lt;&gt;"",'Your debts'!$F$8&lt;&gt;"",'Your debts'!$F$11&lt;'Your debts'!$F$8),AG112,0)+IF(AND('Your debts'!$F$12&lt;&gt;"",'Your debts'!$F$8&lt;&gt;"",'Your debts'!$F$12&lt;'Your debts'!$F$8),AL112,0)+IF(AND('Your debts'!$F$13&lt;&gt;"",'Your debts'!$F$8&lt;&gt;"",'Your debts'!$F$13&lt;'Your debts'!$F$8),AQ112,0)+IF(AND('Your debts'!$F$14&lt;&gt;"",'Your debts'!$F$8&lt;&gt;"",'Your debts'!$F$14&lt;'Your debts'!$F$8),AV112,0)+IF(AND('Your debts'!$F$15&lt;&gt;"",'Your debts'!$F$8&lt;&gt;"",'Your debts'!$F$15&lt;'Your debts'!$F$8),BA112,0)))))</f>
        <v/>
      </c>
      <c r="T112" s="33">
        <f>R112-S112</f>
        <v/>
      </c>
      <c r="U112" s="33">
        <f>IF(Y111&lt;=0,0,ROUND(Y111*(1+'Your debts'!$D$9/1200),2))</f>
        <v/>
      </c>
      <c r="V112" s="33">
        <f>IF(U112&lt;=0,0,MIN('Your debts'!$E$9,U112))</f>
        <v/>
      </c>
      <c r="W112" s="33">
        <f>U112-V112</f>
        <v/>
      </c>
      <c r="X112" s="33">
        <f>IF('Your debts'!$F$9="",0,MIN(W112,MAX(0,MAX(0,'Your debts'!$C$19-(G112+L112+Q112+V112+AA112+AF112+AK112+AP112+AU112+AZ112))-(IF(AND('Your debts'!$F$6&lt;&gt;"",'Your debts'!$F$9&lt;&gt;"",'Your debts'!$F$6&lt;'Your debts'!$F$9),H112,0)+IF(AND('Your debts'!$F$7&lt;&gt;"",'Your debts'!$F$9&lt;&gt;"",'Your debts'!$F$7&lt;'Your debts'!$F$9),M112,0)+IF(AND('Your debts'!$F$8&lt;&gt;"",'Your debts'!$F$9&lt;&gt;"",'Your debts'!$F$8&lt;'Your debts'!$F$9),R112,0)+IF(AND('Your debts'!$F$10&lt;&gt;"",'Your debts'!$F$9&lt;&gt;"",'Your debts'!$F$10&lt;'Your debts'!$F$9),AB112,0)+IF(AND('Your debts'!$F$11&lt;&gt;"",'Your debts'!$F$9&lt;&gt;"",'Your debts'!$F$11&lt;'Your debts'!$F$9),AG112,0)+IF(AND('Your debts'!$F$12&lt;&gt;"",'Your debts'!$F$9&lt;&gt;"",'Your debts'!$F$12&lt;'Your debts'!$F$9),AL112,0)+IF(AND('Your debts'!$F$13&lt;&gt;"",'Your debts'!$F$9&lt;&gt;"",'Your debts'!$F$13&lt;'Your debts'!$F$9),AQ112,0)+IF(AND('Your debts'!$F$14&lt;&gt;"",'Your debts'!$F$9&lt;&gt;"",'Your debts'!$F$14&lt;'Your debts'!$F$9),AV112,0)+IF(AND('Your debts'!$F$15&lt;&gt;"",'Your debts'!$F$9&lt;&gt;"",'Your debts'!$F$15&lt;'Your debts'!$F$9),BA112,0)))))</f>
        <v/>
      </c>
      <c r="Y112" s="33">
        <f>W112-X112</f>
        <v/>
      </c>
      <c r="Z112" s="33">
        <f>IF(AD111&lt;=0,0,ROUND(AD111*(1+'Your debts'!$D$10/1200),2))</f>
        <v/>
      </c>
      <c r="AA112" s="33">
        <f>IF(Z112&lt;=0,0,MIN('Your debts'!$E$10,Z112))</f>
        <v/>
      </c>
      <c r="AB112" s="33">
        <f>Z112-AA112</f>
        <v/>
      </c>
      <c r="AC112" s="33">
        <f>IF('Your debts'!$F$10="",0,MIN(AB112,MAX(0,MAX(0,'Your debts'!$C$19-(G112+L112+Q112+V112+AA112+AF112+AK112+AP112+AU112+AZ112))-(IF(AND('Your debts'!$F$6&lt;&gt;"",'Your debts'!$F$10&lt;&gt;"",'Your debts'!$F$6&lt;'Your debts'!$F$10),H112,0)+IF(AND('Your debts'!$F$7&lt;&gt;"",'Your debts'!$F$10&lt;&gt;"",'Your debts'!$F$7&lt;'Your debts'!$F$10),M112,0)+IF(AND('Your debts'!$F$8&lt;&gt;"",'Your debts'!$F$10&lt;&gt;"",'Your debts'!$F$8&lt;'Your debts'!$F$10),R112,0)+IF(AND('Your debts'!$F$9&lt;&gt;"",'Your debts'!$F$10&lt;&gt;"",'Your debts'!$F$9&lt;'Your debts'!$F$10),W112,0)+IF(AND('Your debts'!$F$11&lt;&gt;"",'Your debts'!$F$10&lt;&gt;"",'Your debts'!$F$11&lt;'Your debts'!$F$10),AG112,0)+IF(AND('Your debts'!$F$12&lt;&gt;"",'Your debts'!$F$10&lt;&gt;"",'Your debts'!$F$12&lt;'Your debts'!$F$10),AL112,0)+IF(AND('Your debts'!$F$13&lt;&gt;"",'Your debts'!$F$10&lt;&gt;"",'Your debts'!$F$13&lt;'Your debts'!$F$10),AQ112,0)+IF(AND('Your debts'!$F$14&lt;&gt;"",'Your debts'!$F$10&lt;&gt;"",'Your debts'!$F$14&lt;'Your debts'!$F$10),AV112,0)+IF(AND('Your debts'!$F$15&lt;&gt;"",'Your debts'!$F$10&lt;&gt;"",'Your debts'!$F$15&lt;'Your debts'!$F$10),BA112,0)))))</f>
        <v/>
      </c>
      <c r="AD112" s="33">
        <f>AB112-AC112</f>
        <v/>
      </c>
      <c r="AE112" s="33">
        <f>IF(AI111&lt;=0,0,ROUND(AI111*(1+'Your debts'!$D$11/1200),2))</f>
        <v/>
      </c>
      <c r="AF112" s="33">
        <f>IF(AE112&lt;=0,0,MIN('Your debts'!$E$11,AE112))</f>
        <v/>
      </c>
      <c r="AG112" s="33">
        <f>AE112-AF112</f>
        <v/>
      </c>
      <c r="AH112" s="33">
        <f>IF('Your debts'!$F$11="",0,MIN(AG112,MAX(0,MAX(0,'Your debts'!$C$19-(G112+L112+Q112+V112+AA112+AF112+AK112+AP112+AU112+AZ112))-(IF(AND('Your debts'!$F$6&lt;&gt;"",'Your debts'!$F$11&lt;&gt;"",'Your debts'!$F$6&lt;'Your debts'!$F$11),H112,0)+IF(AND('Your debts'!$F$7&lt;&gt;"",'Your debts'!$F$11&lt;&gt;"",'Your debts'!$F$7&lt;'Your debts'!$F$11),M112,0)+IF(AND('Your debts'!$F$8&lt;&gt;"",'Your debts'!$F$11&lt;&gt;"",'Your debts'!$F$8&lt;'Your debts'!$F$11),R112,0)+IF(AND('Your debts'!$F$9&lt;&gt;"",'Your debts'!$F$11&lt;&gt;"",'Your debts'!$F$9&lt;'Your debts'!$F$11),W112,0)+IF(AND('Your debts'!$F$10&lt;&gt;"",'Your debts'!$F$11&lt;&gt;"",'Your debts'!$F$10&lt;'Your debts'!$F$11),AB112,0)+IF(AND('Your debts'!$F$12&lt;&gt;"",'Your debts'!$F$11&lt;&gt;"",'Your debts'!$F$12&lt;'Your debts'!$F$11),AL112,0)+IF(AND('Your debts'!$F$13&lt;&gt;"",'Your debts'!$F$11&lt;&gt;"",'Your debts'!$F$13&lt;'Your debts'!$F$11),AQ112,0)+IF(AND('Your debts'!$F$14&lt;&gt;"",'Your debts'!$F$11&lt;&gt;"",'Your debts'!$F$14&lt;'Your debts'!$F$11),AV112,0)+IF(AND('Your debts'!$F$15&lt;&gt;"",'Your debts'!$F$11&lt;&gt;"",'Your debts'!$F$15&lt;'Your debts'!$F$11),BA112,0)))))</f>
        <v/>
      </c>
      <c r="AI112" s="33">
        <f>AG112-AH112</f>
        <v/>
      </c>
      <c r="AJ112" s="33">
        <f>IF(AN111&lt;=0,0,ROUND(AN111*(1+'Your debts'!$D$12/1200),2))</f>
        <v/>
      </c>
      <c r="AK112" s="33">
        <f>IF(AJ112&lt;=0,0,MIN('Your debts'!$E$12,AJ112))</f>
        <v/>
      </c>
      <c r="AL112" s="33">
        <f>AJ112-AK112</f>
        <v/>
      </c>
      <c r="AM112" s="33">
        <f>IF('Your debts'!$F$12="",0,MIN(AL112,MAX(0,MAX(0,'Your debts'!$C$19-(G112+L112+Q112+V112+AA112+AF112+AK112+AP112+AU112+AZ112))-(IF(AND('Your debts'!$F$6&lt;&gt;"",'Your debts'!$F$12&lt;&gt;"",'Your debts'!$F$6&lt;'Your debts'!$F$12),H112,0)+IF(AND('Your debts'!$F$7&lt;&gt;"",'Your debts'!$F$12&lt;&gt;"",'Your debts'!$F$7&lt;'Your debts'!$F$12),M112,0)+IF(AND('Your debts'!$F$8&lt;&gt;"",'Your debts'!$F$12&lt;&gt;"",'Your debts'!$F$8&lt;'Your debts'!$F$12),R112,0)+IF(AND('Your debts'!$F$9&lt;&gt;"",'Your debts'!$F$12&lt;&gt;"",'Your debts'!$F$9&lt;'Your debts'!$F$12),W112,0)+IF(AND('Your debts'!$F$10&lt;&gt;"",'Your debts'!$F$12&lt;&gt;"",'Your debts'!$F$10&lt;'Your debts'!$F$12),AB112,0)+IF(AND('Your debts'!$F$11&lt;&gt;"",'Your debts'!$F$12&lt;&gt;"",'Your debts'!$F$11&lt;'Your debts'!$F$12),AG112,0)+IF(AND('Your debts'!$F$13&lt;&gt;"",'Your debts'!$F$12&lt;&gt;"",'Your debts'!$F$13&lt;'Your debts'!$F$12),AQ112,0)+IF(AND('Your debts'!$F$14&lt;&gt;"",'Your debts'!$F$12&lt;&gt;"",'Your debts'!$F$14&lt;'Your debts'!$F$12),AV112,0)+IF(AND('Your debts'!$F$15&lt;&gt;"",'Your debts'!$F$12&lt;&gt;"",'Your debts'!$F$15&lt;'Your debts'!$F$12),BA112,0)))))</f>
        <v/>
      </c>
      <c r="AN112" s="33">
        <f>AL112-AM112</f>
        <v/>
      </c>
      <c r="AO112" s="33">
        <f>IF(AS111&lt;=0,0,ROUND(AS111*(1+'Your debts'!$D$13/1200),2))</f>
        <v/>
      </c>
      <c r="AP112" s="33">
        <f>IF(AO112&lt;=0,0,MIN('Your debts'!$E$13,AO112))</f>
        <v/>
      </c>
      <c r="AQ112" s="33">
        <f>AO112-AP112</f>
        <v/>
      </c>
      <c r="AR112" s="33">
        <f>IF('Your debts'!$F$13="",0,MIN(AQ112,MAX(0,MAX(0,'Your debts'!$C$19-(G112+L112+Q112+V112+AA112+AF112+AK112+AP112+AU112+AZ112))-(IF(AND('Your debts'!$F$6&lt;&gt;"",'Your debts'!$F$13&lt;&gt;"",'Your debts'!$F$6&lt;'Your debts'!$F$13),H112,0)+IF(AND('Your debts'!$F$7&lt;&gt;"",'Your debts'!$F$13&lt;&gt;"",'Your debts'!$F$7&lt;'Your debts'!$F$13),M112,0)+IF(AND('Your debts'!$F$8&lt;&gt;"",'Your debts'!$F$13&lt;&gt;"",'Your debts'!$F$8&lt;'Your debts'!$F$13),R112,0)+IF(AND('Your debts'!$F$9&lt;&gt;"",'Your debts'!$F$13&lt;&gt;"",'Your debts'!$F$9&lt;'Your debts'!$F$13),W112,0)+IF(AND('Your debts'!$F$10&lt;&gt;"",'Your debts'!$F$13&lt;&gt;"",'Your debts'!$F$10&lt;'Your debts'!$F$13),AB112,0)+IF(AND('Your debts'!$F$11&lt;&gt;"",'Your debts'!$F$13&lt;&gt;"",'Your debts'!$F$11&lt;'Your debts'!$F$13),AG112,0)+IF(AND('Your debts'!$F$12&lt;&gt;"",'Your debts'!$F$13&lt;&gt;"",'Your debts'!$F$12&lt;'Your debts'!$F$13),AL112,0)+IF(AND('Your debts'!$F$14&lt;&gt;"",'Your debts'!$F$13&lt;&gt;"",'Your debts'!$F$14&lt;'Your debts'!$F$13),AV112,0)+IF(AND('Your debts'!$F$15&lt;&gt;"",'Your debts'!$F$13&lt;&gt;"",'Your debts'!$F$15&lt;'Your debts'!$F$13),BA112,0)))))</f>
        <v/>
      </c>
      <c r="AS112" s="33">
        <f>AQ112-AR112</f>
        <v/>
      </c>
      <c r="AT112" s="33">
        <f>IF(AX111&lt;=0,0,ROUND(AX111*(1+'Your debts'!$D$14/1200),2))</f>
        <v/>
      </c>
      <c r="AU112" s="33">
        <f>IF(AT112&lt;=0,0,MIN('Your debts'!$E$14,AT112))</f>
        <v/>
      </c>
      <c r="AV112" s="33">
        <f>AT112-AU112</f>
        <v/>
      </c>
      <c r="AW112" s="33">
        <f>IF('Your debts'!$F$14="",0,MIN(AV112,MAX(0,MAX(0,'Your debts'!$C$19-(G112+L112+Q112+V112+AA112+AF112+AK112+AP112+AU112+AZ112))-(IF(AND('Your debts'!$F$6&lt;&gt;"",'Your debts'!$F$14&lt;&gt;"",'Your debts'!$F$6&lt;'Your debts'!$F$14),H112,0)+IF(AND('Your debts'!$F$7&lt;&gt;"",'Your debts'!$F$14&lt;&gt;"",'Your debts'!$F$7&lt;'Your debts'!$F$14),M112,0)+IF(AND('Your debts'!$F$8&lt;&gt;"",'Your debts'!$F$14&lt;&gt;"",'Your debts'!$F$8&lt;'Your debts'!$F$14),R112,0)+IF(AND('Your debts'!$F$9&lt;&gt;"",'Your debts'!$F$14&lt;&gt;"",'Your debts'!$F$9&lt;'Your debts'!$F$14),W112,0)+IF(AND('Your debts'!$F$10&lt;&gt;"",'Your debts'!$F$14&lt;&gt;"",'Your debts'!$F$10&lt;'Your debts'!$F$14),AB112,0)+IF(AND('Your debts'!$F$11&lt;&gt;"",'Your debts'!$F$14&lt;&gt;"",'Your debts'!$F$11&lt;'Your debts'!$F$14),AG112,0)+IF(AND('Your debts'!$F$12&lt;&gt;"",'Your debts'!$F$14&lt;&gt;"",'Your debts'!$F$12&lt;'Your debts'!$F$14),AL112,0)+IF(AND('Your debts'!$F$13&lt;&gt;"",'Your debts'!$F$14&lt;&gt;"",'Your debts'!$F$13&lt;'Your debts'!$F$14),AQ112,0)+IF(AND('Your debts'!$F$15&lt;&gt;"",'Your debts'!$F$14&lt;&gt;"",'Your debts'!$F$15&lt;'Your debts'!$F$14),BA112,0)))))</f>
        <v/>
      </c>
      <c r="AX112" s="33">
        <f>AV112-AW112</f>
        <v/>
      </c>
      <c r="AY112" s="33">
        <f>IF(BC111&lt;=0,0,ROUND(BC111*(1+'Your debts'!$D$15/1200),2))</f>
        <v/>
      </c>
      <c r="AZ112" s="33">
        <f>IF(AY112&lt;=0,0,MIN('Your debts'!$E$15,AY112))</f>
        <v/>
      </c>
      <c r="BA112" s="33">
        <f>AY112-AZ112</f>
        <v/>
      </c>
      <c r="BB112" s="33">
        <f>IF('Your debts'!$F$15="",0,MIN(BA112,MAX(0,MAX(0,'Your debts'!$C$19-(G112+L112+Q112+V112+AA112+AF112+AK112+AP112+AU112+AZ112))-(IF(AND('Your debts'!$F$6&lt;&gt;"",'Your debts'!$F$15&lt;&gt;"",'Your debts'!$F$6&lt;'Your debts'!$F$15),H112,0)+IF(AND('Your debts'!$F$7&lt;&gt;"",'Your debts'!$F$15&lt;&gt;"",'Your debts'!$F$7&lt;'Your debts'!$F$15),M112,0)+IF(AND('Your debts'!$F$8&lt;&gt;"",'Your debts'!$F$15&lt;&gt;"",'Your debts'!$F$8&lt;'Your debts'!$F$15),R112,0)+IF(AND('Your debts'!$F$9&lt;&gt;"",'Your debts'!$F$15&lt;&gt;"",'Your debts'!$F$9&lt;'Your debts'!$F$15),W112,0)+IF(AND('Your debts'!$F$10&lt;&gt;"",'Your debts'!$F$15&lt;&gt;"",'Your debts'!$F$10&lt;'Your debts'!$F$15),AB112,0)+IF(AND('Your debts'!$F$11&lt;&gt;"",'Your debts'!$F$15&lt;&gt;"",'Your debts'!$F$11&lt;'Your debts'!$F$15),AG112,0)+IF(AND('Your debts'!$F$12&lt;&gt;"",'Your debts'!$F$15&lt;&gt;"",'Your debts'!$F$12&lt;'Your debts'!$F$15),AL112,0)+IF(AND('Your debts'!$F$13&lt;&gt;"",'Your debts'!$F$15&lt;&gt;"",'Your debts'!$F$13&lt;'Your debts'!$F$15),AQ112,0)+IF(AND('Your debts'!$F$14&lt;&gt;"",'Your debts'!$F$15&lt;&gt;"",'Your debts'!$F$14&lt;'Your debts'!$F$15),AV112,0)))))</f>
        <v/>
      </c>
      <c r="BC112" s="33">
        <f>BA112-BB112</f>
        <v/>
      </c>
    </row>
    <row r="113">
      <c r="A113" s="30" t="n">
        <v>98</v>
      </c>
      <c r="B113" s="31">
        <f>EDATE($B$15,98)</f>
        <v/>
      </c>
      <c r="C113" s="32">
        <f>IF(J112&lt;=0,0,F113-J112)+IF(O112&lt;=0,0,K113-O112)+IF(T112&lt;=0,0,P113-T112)+IF(Y112&lt;=0,0,U113-Y112)+IF(AD112&lt;=0,0,Z113-AD112)+IF(AI112&lt;=0,0,AE113-AI112)+IF(AN112&lt;=0,0,AJ113-AN112)+IF(AS112&lt;=0,0,AO113-AS112)+IF(AX112&lt;=0,0,AT113-AX112)+IF(BC112&lt;=0,0,AY113-BC112)</f>
        <v/>
      </c>
      <c r="D113" s="32">
        <f>G113+I113+L113+N113+Q113+S113+V113+X113+AA113+AC113+AF113+AH113+AK113+AM113+AP113+AR113+AU113+AW113+AZ113+BB113</f>
        <v/>
      </c>
      <c r="E113" s="32">
        <f>J113+O113+T113+Y113+AD113+AI113+AN113+AS113+AX113+BC113</f>
        <v/>
      </c>
      <c r="F113" s="33">
        <f>IF(J112&lt;=0,0,ROUND(J112*(1+'Your debts'!$D$6/1200),2))</f>
        <v/>
      </c>
      <c r="G113" s="33">
        <f>IF(F113&lt;=0,0,MIN('Your debts'!$E$6,F113))</f>
        <v/>
      </c>
      <c r="H113" s="33">
        <f>F113-G113</f>
        <v/>
      </c>
      <c r="I113" s="33">
        <f>IF('Your debts'!$F$6="",0,MIN(H113,MAX(0,MAX(0,'Your debts'!$C$19-(G113+L113+Q113+V113+AA113+AF113+AK113+AP113+AU113+AZ113))-(IF(AND('Your debts'!$F$7&lt;&gt;"",'Your debts'!$F$6&lt;&gt;"",'Your debts'!$F$7&lt;'Your debts'!$F$6),M113,0)+IF(AND('Your debts'!$F$8&lt;&gt;"",'Your debts'!$F$6&lt;&gt;"",'Your debts'!$F$8&lt;'Your debts'!$F$6),R113,0)+IF(AND('Your debts'!$F$9&lt;&gt;"",'Your debts'!$F$6&lt;&gt;"",'Your debts'!$F$9&lt;'Your debts'!$F$6),W113,0)+IF(AND('Your debts'!$F$10&lt;&gt;"",'Your debts'!$F$6&lt;&gt;"",'Your debts'!$F$10&lt;'Your debts'!$F$6),AB113,0)+IF(AND('Your debts'!$F$11&lt;&gt;"",'Your debts'!$F$6&lt;&gt;"",'Your debts'!$F$11&lt;'Your debts'!$F$6),AG113,0)+IF(AND('Your debts'!$F$12&lt;&gt;"",'Your debts'!$F$6&lt;&gt;"",'Your debts'!$F$12&lt;'Your debts'!$F$6),AL113,0)+IF(AND('Your debts'!$F$13&lt;&gt;"",'Your debts'!$F$6&lt;&gt;"",'Your debts'!$F$13&lt;'Your debts'!$F$6),AQ113,0)+IF(AND('Your debts'!$F$14&lt;&gt;"",'Your debts'!$F$6&lt;&gt;"",'Your debts'!$F$14&lt;'Your debts'!$F$6),AV113,0)+IF(AND('Your debts'!$F$15&lt;&gt;"",'Your debts'!$F$6&lt;&gt;"",'Your debts'!$F$15&lt;'Your debts'!$F$6),BA113,0)))))</f>
        <v/>
      </c>
      <c r="J113" s="33">
        <f>H113-I113</f>
        <v/>
      </c>
      <c r="K113" s="33">
        <f>IF(O112&lt;=0,0,ROUND(O112*(1+'Your debts'!$D$7/1200),2))</f>
        <v/>
      </c>
      <c r="L113" s="33">
        <f>IF(K113&lt;=0,0,MIN('Your debts'!$E$7,K113))</f>
        <v/>
      </c>
      <c r="M113" s="33">
        <f>K113-L113</f>
        <v/>
      </c>
      <c r="N113" s="33">
        <f>IF('Your debts'!$F$7="",0,MIN(M113,MAX(0,MAX(0,'Your debts'!$C$19-(G113+L113+Q113+V113+AA113+AF113+AK113+AP113+AU113+AZ113))-(IF(AND('Your debts'!$F$6&lt;&gt;"",'Your debts'!$F$7&lt;&gt;"",'Your debts'!$F$6&lt;'Your debts'!$F$7),H113,0)+IF(AND('Your debts'!$F$8&lt;&gt;"",'Your debts'!$F$7&lt;&gt;"",'Your debts'!$F$8&lt;'Your debts'!$F$7),R113,0)+IF(AND('Your debts'!$F$9&lt;&gt;"",'Your debts'!$F$7&lt;&gt;"",'Your debts'!$F$9&lt;'Your debts'!$F$7),W113,0)+IF(AND('Your debts'!$F$10&lt;&gt;"",'Your debts'!$F$7&lt;&gt;"",'Your debts'!$F$10&lt;'Your debts'!$F$7),AB113,0)+IF(AND('Your debts'!$F$11&lt;&gt;"",'Your debts'!$F$7&lt;&gt;"",'Your debts'!$F$11&lt;'Your debts'!$F$7),AG113,0)+IF(AND('Your debts'!$F$12&lt;&gt;"",'Your debts'!$F$7&lt;&gt;"",'Your debts'!$F$12&lt;'Your debts'!$F$7),AL113,0)+IF(AND('Your debts'!$F$13&lt;&gt;"",'Your debts'!$F$7&lt;&gt;"",'Your debts'!$F$13&lt;'Your debts'!$F$7),AQ113,0)+IF(AND('Your debts'!$F$14&lt;&gt;"",'Your debts'!$F$7&lt;&gt;"",'Your debts'!$F$14&lt;'Your debts'!$F$7),AV113,0)+IF(AND('Your debts'!$F$15&lt;&gt;"",'Your debts'!$F$7&lt;&gt;"",'Your debts'!$F$15&lt;'Your debts'!$F$7),BA113,0)))))</f>
        <v/>
      </c>
      <c r="O113" s="33">
        <f>M113-N113</f>
        <v/>
      </c>
      <c r="P113" s="33">
        <f>IF(T112&lt;=0,0,ROUND(T112*(1+'Your debts'!$D$8/1200),2))</f>
        <v/>
      </c>
      <c r="Q113" s="33">
        <f>IF(P113&lt;=0,0,MIN('Your debts'!$E$8,P113))</f>
        <v/>
      </c>
      <c r="R113" s="33">
        <f>P113-Q113</f>
        <v/>
      </c>
      <c r="S113" s="33">
        <f>IF('Your debts'!$F$8="",0,MIN(R113,MAX(0,MAX(0,'Your debts'!$C$19-(G113+L113+Q113+V113+AA113+AF113+AK113+AP113+AU113+AZ113))-(IF(AND('Your debts'!$F$6&lt;&gt;"",'Your debts'!$F$8&lt;&gt;"",'Your debts'!$F$6&lt;'Your debts'!$F$8),H113,0)+IF(AND('Your debts'!$F$7&lt;&gt;"",'Your debts'!$F$8&lt;&gt;"",'Your debts'!$F$7&lt;'Your debts'!$F$8),M113,0)+IF(AND('Your debts'!$F$9&lt;&gt;"",'Your debts'!$F$8&lt;&gt;"",'Your debts'!$F$9&lt;'Your debts'!$F$8),W113,0)+IF(AND('Your debts'!$F$10&lt;&gt;"",'Your debts'!$F$8&lt;&gt;"",'Your debts'!$F$10&lt;'Your debts'!$F$8),AB113,0)+IF(AND('Your debts'!$F$11&lt;&gt;"",'Your debts'!$F$8&lt;&gt;"",'Your debts'!$F$11&lt;'Your debts'!$F$8),AG113,0)+IF(AND('Your debts'!$F$12&lt;&gt;"",'Your debts'!$F$8&lt;&gt;"",'Your debts'!$F$12&lt;'Your debts'!$F$8),AL113,0)+IF(AND('Your debts'!$F$13&lt;&gt;"",'Your debts'!$F$8&lt;&gt;"",'Your debts'!$F$13&lt;'Your debts'!$F$8),AQ113,0)+IF(AND('Your debts'!$F$14&lt;&gt;"",'Your debts'!$F$8&lt;&gt;"",'Your debts'!$F$14&lt;'Your debts'!$F$8),AV113,0)+IF(AND('Your debts'!$F$15&lt;&gt;"",'Your debts'!$F$8&lt;&gt;"",'Your debts'!$F$15&lt;'Your debts'!$F$8),BA113,0)))))</f>
        <v/>
      </c>
      <c r="T113" s="33">
        <f>R113-S113</f>
        <v/>
      </c>
      <c r="U113" s="33">
        <f>IF(Y112&lt;=0,0,ROUND(Y112*(1+'Your debts'!$D$9/1200),2))</f>
        <v/>
      </c>
      <c r="V113" s="33">
        <f>IF(U113&lt;=0,0,MIN('Your debts'!$E$9,U113))</f>
        <v/>
      </c>
      <c r="W113" s="33">
        <f>U113-V113</f>
        <v/>
      </c>
      <c r="X113" s="33">
        <f>IF('Your debts'!$F$9="",0,MIN(W113,MAX(0,MAX(0,'Your debts'!$C$19-(G113+L113+Q113+V113+AA113+AF113+AK113+AP113+AU113+AZ113))-(IF(AND('Your debts'!$F$6&lt;&gt;"",'Your debts'!$F$9&lt;&gt;"",'Your debts'!$F$6&lt;'Your debts'!$F$9),H113,0)+IF(AND('Your debts'!$F$7&lt;&gt;"",'Your debts'!$F$9&lt;&gt;"",'Your debts'!$F$7&lt;'Your debts'!$F$9),M113,0)+IF(AND('Your debts'!$F$8&lt;&gt;"",'Your debts'!$F$9&lt;&gt;"",'Your debts'!$F$8&lt;'Your debts'!$F$9),R113,0)+IF(AND('Your debts'!$F$10&lt;&gt;"",'Your debts'!$F$9&lt;&gt;"",'Your debts'!$F$10&lt;'Your debts'!$F$9),AB113,0)+IF(AND('Your debts'!$F$11&lt;&gt;"",'Your debts'!$F$9&lt;&gt;"",'Your debts'!$F$11&lt;'Your debts'!$F$9),AG113,0)+IF(AND('Your debts'!$F$12&lt;&gt;"",'Your debts'!$F$9&lt;&gt;"",'Your debts'!$F$12&lt;'Your debts'!$F$9),AL113,0)+IF(AND('Your debts'!$F$13&lt;&gt;"",'Your debts'!$F$9&lt;&gt;"",'Your debts'!$F$13&lt;'Your debts'!$F$9),AQ113,0)+IF(AND('Your debts'!$F$14&lt;&gt;"",'Your debts'!$F$9&lt;&gt;"",'Your debts'!$F$14&lt;'Your debts'!$F$9),AV113,0)+IF(AND('Your debts'!$F$15&lt;&gt;"",'Your debts'!$F$9&lt;&gt;"",'Your debts'!$F$15&lt;'Your debts'!$F$9),BA113,0)))))</f>
        <v/>
      </c>
      <c r="Y113" s="33">
        <f>W113-X113</f>
        <v/>
      </c>
      <c r="Z113" s="33">
        <f>IF(AD112&lt;=0,0,ROUND(AD112*(1+'Your debts'!$D$10/1200),2))</f>
        <v/>
      </c>
      <c r="AA113" s="33">
        <f>IF(Z113&lt;=0,0,MIN('Your debts'!$E$10,Z113))</f>
        <v/>
      </c>
      <c r="AB113" s="33">
        <f>Z113-AA113</f>
        <v/>
      </c>
      <c r="AC113" s="33">
        <f>IF('Your debts'!$F$10="",0,MIN(AB113,MAX(0,MAX(0,'Your debts'!$C$19-(G113+L113+Q113+V113+AA113+AF113+AK113+AP113+AU113+AZ113))-(IF(AND('Your debts'!$F$6&lt;&gt;"",'Your debts'!$F$10&lt;&gt;"",'Your debts'!$F$6&lt;'Your debts'!$F$10),H113,0)+IF(AND('Your debts'!$F$7&lt;&gt;"",'Your debts'!$F$10&lt;&gt;"",'Your debts'!$F$7&lt;'Your debts'!$F$10),M113,0)+IF(AND('Your debts'!$F$8&lt;&gt;"",'Your debts'!$F$10&lt;&gt;"",'Your debts'!$F$8&lt;'Your debts'!$F$10),R113,0)+IF(AND('Your debts'!$F$9&lt;&gt;"",'Your debts'!$F$10&lt;&gt;"",'Your debts'!$F$9&lt;'Your debts'!$F$10),W113,0)+IF(AND('Your debts'!$F$11&lt;&gt;"",'Your debts'!$F$10&lt;&gt;"",'Your debts'!$F$11&lt;'Your debts'!$F$10),AG113,0)+IF(AND('Your debts'!$F$12&lt;&gt;"",'Your debts'!$F$10&lt;&gt;"",'Your debts'!$F$12&lt;'Your debts'!$F$10),AL113,0)+IF(AND('Your debts'!$F$13&lt;&gt;"",'Your debts'!$F$10&lt;&gt;"",'Your debts'!$F$13&lt;'Your debts'!$F$10),AQ113,0)+IF(AND('Your debts'!$F$14&lt;&gt;"",'Your debts'!$F$10&lt;&gt;"",'Your debts'!$F$14&lt;'Your debts'!$F$10),AV113,0)+IF(AND('Your debts'!$F$15&lt;&gt;"",'Your debts'!$F$10&lt;&gt;"",'Your debts'!$F$15&lt;'Your debts'!$F$10),BA113,0)))))</f>
        <v/>
      </c>
      <c r="AD113" s="33">
        <f>AB113-AC113</f>
        <v/>
      </c>
      <c r="AE113" s="33">
        <f>IF(AI112&lt;=0,0,ROUND(AI112*(1+'Your debts'!$D$11/1200),2))</f>
        <v/>
      </c>
      <c r="AF113" s="33">
        <f>IF(AE113&lt;=0,0,MIN('Your debts'!$E$11,AE113))</f>
        <v/>
      </c>
      <c r="AG113" s="33">
        <f>AE113-AF113</f>
        <v/>
      </c>
      <c r="AH113" s="33">
        <f>IF('Your debts'!$F$11="",0,MIN(AG113,MAX(0,MAX(0,'Your debts'!$C$19-(G113+L113+Q113+V113+AA113+AF113+AK113+AP113+AU113+AZ113))-(IF(AND('Your debts'!$F$6&lt;&gt;"",'Your debts'!$F$11&lt;&gt;"",'Your debts'!$F$6&lt;'Your debts'!$F$11),H113,0)+IF(AND('Your debts'!$F$7&lt;&gt;"",'Your debts'!$F$11&lt;&gt;"",'Your debts'!$F$7&lt;'Your debts'!$F$11),M113,0)+IF(AND('Your debts'!$F$8&lt;&gt;"",'Your debts'!$F$11&lt;&gt;"",'Your debts'!$F$8&lt;'Your debts'!$F$11),R113,0)+IF(AND('Your debts'!$F$9&lt;&gt;"",'Your debts'!$F$11&lt;&gt;"",'Your debts'!$F$9&lt;'Your debts'!$F$11),W113,0)+IF(AND('Your debts'!$F$10&lt;&gt;"",'Your debts'!$F$11&lt;&gt;"",'Your debts'!$F$10&lt;'Your debts'!$F$11),AB113,0)+IF(AND('Your debts'!$F$12&lt;&gt;"",'Your debts'!$F$11&lt;&gt;"",'Your debts'!$F$12&lt;'Your debts'!$F$11),AL113,0)+IF(AND('Your debts'!$F$13&lt;&gt;"",'Your debts'!$F$11&lt;&gt;"",'Your debts'!$F$13&lt;'Your debts'!$F$11),AQ113,0)+IF(AND('Your debts'!$F$14&lt;&gt;"",'Your debts'!$F$11&lt;&gt;"",'Your debts'!$F$14&lt;'Your debts'!$F$11),AV113,0)+IF(AND('Your debts'!$F$15&lt;&gt;"",'Your debts'!$F$11&lt;&gt;"",'Your debts'!$F$15&lt;'Your debts'!$F$11),BA113,0)))))</f>
        <v/>
      </c>
      <c r="AI113" s="33">
        <f>AG113-AH113</f>
        <v/>
      </c>
      <c r="AJ113" s="33">
        <f>IF(AN112&lt;=0,0,ROUND(AN112*(1+'Your debts'!$D$12/1200),2))</f>
        <v/>
      </c>
      <c r="AK113" s="33">
        <f>IF(AJ113&lt;=0,0,MIN('Your debts'!$E$12,AJ113))</f>
        <v/>
      </c>
      <c r="AL113" s="33">
        <f>AJ113-AK113</f>
        <v/>
      </c>
      <c r="AM113" s="33">
        <f>IF('Your debts'!$F$12="",0,MIN(AL113,MAX(0,MAX(0,'Your debts'!$C$19-(G113+L113+Q113+V113+AA113+AF113+AK113+AP113+AU113+AZ113))-(IF(AND('Your debts'!$F$6&lt;&gt;"",'Your debts'!$F$12&lt;&gt;"",'Your debts'!$F$6&lt;'Your debts'!$F$12),H113,0)+IF(AND('Your debts'!$F$7&lt;&gt;"",'Your debts'!$F$12&lt;&gt;"",'Your debts'!$F$7&lt;'Your debts'!$F$12),M113,0)+IF(AND('Your debts'!$F$8&lt;&gt;"",'Your debts'!$F$12&lt;&gt;"",'Your debts'!$F$8&lt;'Your debts'!$F$12),R113,0)+IF(AND('Your debts'!$F$9&lt;&gt;"",'Your debts'!$F$12&lt;&gt;"",'Your debts'!$F$9&lt;'Your debts'!$F$12),W113,0)+IF(AND('Your debts'!$F$10&lt;&gt;"",'Your debts'!$F$12&lt;&gt;"",'Your debts'!$F$10&lt;'Your debts'!$F$12),AB113,0)+IF(AND('Your debts'!$F$11&lt;&gt;"",'Your debts'!$F$12&lt;&gt;"",'Your debts'!$F$11&lt;'Your debts'!$F$12),AG113,0)+IF(AND('Your debts'!$F$13&lt;&gt;"",'Your debts'!$F$12&lt;&gt;"",'Your debts'!$F$13&lt;'Your debts'!$F$12),AQ113,0)+IF(AND('Your debts'!$F$14&lt;&gt;"",'Your debts'!$F$12&lt;&gt;"",'Your debts'!$F$14&lt;'Your debts'!$F$12),AV113,0)+IF(AND('Your debts'!$F$15&lt;&gt;"",'Your debts'!$F$12&lt;&gt;"",'Your debts'!$F$15&lt;'Your debts'!$F$12),BA113,0)))))</f>
        <v/>
      </c>
      <c r="AN113" s="33">
        <f>AL113-AM113</f>
        <v/>
      </c>
      <c r="AO113" s="33">
        <f>IF(AS112&lt;=0,0,ROUND(AS112*(1+'Your debts'!$D$13/1200),2))</f>
        <v/>
      </c>
      <c r="AP113" s="33">
        <f>IF(AO113&lt;=0,0,MIN('Your debts'!$E$13,AO113))</f>
        <v/>
      </c>
      <c r="AQ113" s="33">
        <f>AO113-AP113</f>
        <v/>
      </c>
      <c r="AR113" s="33">
        <f>IF('Your debts'!$F$13="",0,MIN(AQ113,MAX(0,MAX(0,'Your debts'!$C$19-(G113+L113+Q113+V113+AA113+AF113+AK113+AP113+AU113+AZ113))-(IF(AND('Your debts'!$F$6&lt;&gt;"",'Your debts'!$F$13&lt;&gt;"",'Your debts'!$F$6&lt;'Your debts'!$F$13),H113,0)+IF(AND('Your debts'!$F$7&lt;&gt;"",'Your debts'!$F$13&lt;&gt;"",'Your debts'!$F$7&lt;'Your debts'!$F$13),M113,0)+IF(AND('Your debts'!$F$8&lt;&gt;"",'Your debts'!$F$13&lt;&gt;"",'Your debts'!$F$8&lt;'Your debts'!$F$13),R113,0)+IF(AND('Your debts'!$F$9&lt;&gt;"",'Your debts'!$F$13&lt;&gt;"",'Your debts'!$F$9&lt;'Your debts'!$F$13),W113,0)+IF(AND('Your debts'!$F$10&lt;&gt;"",'Your debts'!$F$13&lt;&gt;"",'Your debts'!$F$10&lt;'Your debts'!$F$13),AB113,0)+IF(AND('Your debts'!$F$11&lt;&gt;"",'Your debts'!$F$13&lt;&gt;"",'Your debts'!$F$11&lt;'Your debts'!$F$13),AG113,0)+IF(AND('Your debts'!$F$12&lt;&gt;"",'Your debts'!$F$13&lt;&gt;"",'Your debts'!$F$12&lt;'Your debts'!$F$13),AL113,0)+IF(AND('Your debts'!$F$14&lt;&gt;"",'Your debts'!$F$13&lt;&gt;"",'Your debts'!$F$14&lt;'Your debts'!$F$13),AV113,0)+IF(AND('Your debts'!$F$15&lt;&gt;"",'Your debts'!$F$13&lt;&gt;"",'Your debts'!$F$15&lt;'Your debts'!$F$13),BA113,0)))))</f>
        <v/>
      </c>
      <c r="AS113" s="33">
        <f>AQ113-AR113</f>
        <v/>
      </c>
      <c r="AT113" s="33">
        <f>IF(AX112&lt;=0,0,ROUND(AX112*(1+'Your debts'!$D$14/1200),2))</f>
        <v/>
      </c>
      <c r="AU113" s="33">
        <f>IF(AT113&lt;=0,0,MIN('Your debts'!$E$14,AT113))</f>
        <v/>
      </c>
      <c r="AV113" s="33">
        <f>AT113-AU113</f>
        <v/>
      </c>
      <c r="AW113" s="33">
        <f>IF('Your debts'!$F$14="",0,MIN(AV113,MAX(0,MAX(0,'Your debts'!$C$19-(G113+L113+Q113+V113+AA113+AF113+AK113+AP113+AU113+AZ113))-(IF(AND('Your debts'!$F$6&lt;&gt;"",'Your debts'!$F$14&lt;&gt;"",'Your debts'!$F$6&lt;'Your debts'!$F$14),H113,0)+IF(AND('Your debts'!$F$7&lt;&gt;"",'Your debts'!$F$14&lt;&gt;"",'Your debts'!$F$7&lt;'Your debts'!$F$14),M113,0)+IF(AND('Your debts'!$F$8&lt;&gt;"",'Your debts'!$F$14&lt;&gt;"",'Your debts'!$F$8&lt;'Your debts'!$F$14),R113,0)+IF(AND('Your debts'!$F$9&lt;&gt;"",'Your debts'!$F$14&lt;&gt;"",'Your debts'!$F$9&lt;'Your debts'!$F$14),W113,0)+IF(AND('Your debts'!$F$10&lt;&gt;"",'Your debts'!$F$14&lt;&gt;"",'Your debts'!$F$10&lt;'Your debts'!$F$14),AB113,0)+IF(AND('Your debts'!$F$11&lt;&gt;"",'Your debts'!$F$14&lt;&gt;"",'Your debts'!$F$11&lt;'Your debts'!$F$14),AG113,0)+IF(AND('Your debts'!$F$12&lt;&gt;"",'Your debts'!$F$14&lt;&gt;"",'Your debts'!$F$12&lt;'Your debts'!$F$14),AL113,0)+IF(AND('Your debts'!$F$13&lt;&gt;"",'Your debts'!$F$14&lt;&gt;"",'Your debts'!$F$13&lt;'Your debts'!$F$14),AQ113,0)+IF(AND('Your debts'!$F$15&lt;&gt;"",'Your debts'!$F$14&lt;&gt;"",'Your debts'!$F$15&lt;'Your debts'!$F$14),BA113,0)))))</f>
        <v/>
      </c>
      <c r="AX113" s="33">
        <f>AV113-AW113</f>
        <v/>
      </c>
      <c r="AY113" s="33">
        <f>IF(BC112&lt;=0,0,ROUND(BC112*(1+'Your debts'!$D$15/1200),2))</f>
        <v/>
      </c>
      <c r="AZ113" s="33">
        <f>IF(AY113&lt;=0,0,MIN('Your debts'!$E$15,AY113))</f>
        <v/>
      </c>
      <c r="BA113" s="33">
        <f>AY113-AZ113</f>
        <v/>
      </c>
      <c r="BB113" s="33">
        <f>IF('Your debts'!$F$15="",0,MIN(BA113,MAX(0,MAX(0,'Your debts'!$C$19-(G113+L113+Q113+V113+AA113+AF113+AK113+AP113+AU113+AZ113))-(IF(AND('Your debts'!$F$6&lt;&gt;"",'Your debts'!$F$15&lt;&gt;"",'Your debts'!$F$6&lt;'Your debts'!$F$15),H113,0)+IF(AND('Your debts'!$F$7&lt;&gt;"",'Your debts'!$F$15&lt;&gt;"",'Your debts'!$F$7&lt;'Your debts'!$F$15),M113,0)+IF(AND('Your debts'!$F$8&lt;&gt;"",'Your debts'!$F$15&lt;&gt;"",'Your debts'!$F$8&lt;'Your debts'!$F$15),R113,0)+IF(AND('Your debts'!$F$9&lt;&gt;"",'Your debts'!$F$15&lt;&gt;"",'Your debts'!$F$9&lt;'Your debts'!$F$15),W113,0)+IF(AND('Your debts'!$F$10&lt;&gt;"",'Your debts'!$F$15&lt;&gt;"",'Your debts'!$F$10&lt;'Your debts'!$F$15),AB113,0)+IF(AND('Your debts'!$F$11&lt;&gt;"",'Your debts'!$F$15&lt;&gt;"",'Your debts'!$F$11&lt;'Your debts'!$F$15),AG113,0)+IF(AND('Your debts'!$F$12&lt;&gt;"",'Your debts'!$F$15&lt;&gt;"",'Your debts'!$F$12&lt;'Your debts'!$F$15),AL113,0)+IF(AND('Your debts'!$F$13&lt;&gt;"",'Your debts'!$F$15&lt;&gt;"",'Your debts'!$F$13&lt;'Your debts'!$F$15),AQ113,0)+IF(AND('Your debts'!$F$14&lt;&gt;"",'Your debts'!$F$15&lt;&gt;"",'Your debts'!$F$14&lt;'Your debts'!$F$15),AV113,0)))))</f>
        <v/>
      </c>
      <c r="BC113" s="33">
        <f>BA113-BB113</f>
        <v/>
      </c>
    </row>
    <row r="114">
      <c r="A114" s="30" t="n">
        <v>99</v>
      </c>
      <c r="B114" s="31">
        <f>EDATE($B$15,99)</f>
        <v/>
      </c>
      <c r="C114" s="32">
        <f>IF(J113&lt;=0,0,F114-J113)+IF(O113&lt;=0,0,K114-O113)+IF(T113&lt;=0,0,P114-T113)+IF(Y113&lt;=0,0,U114-Y113)+IF(AD113&lt;=0,0,Z114-AD113)+IF(AI113&lt;=0,0,AE114-AI113)+IF(AN113&lt;=0,0,AJ114-AN113)+IF(AS113&lt;=0,0,AO114-AS113)+IF(AX113&lt;=0,0,AT114-AX113)+IF(BC113&lt;=0,0,AY114-BC113)</f>
        <v/>
      </c>
      <c r="D114" s="32">
        <f>G114+I114+L114+N114+Q114+S114+V114+X114+AA114+AC114+AF114+AH114+AK114+AM114+AP114+AR114+AU114+AW114+AZ114+BB114</f>
        <v/>
      </c>
      <c r="E114" s="32">
        <f>J114+O114+T114+Y114+AD114+AI114+AN114+AS114+AX114+BC114</f>
        <v/>
      </c>
      <c r="F114" s="33">
        <f>IF(J113&lt;=0,0,ROUND(J113*(1+'Your debts'!$D$6/1200),2))</f>
        <v/>
      </c>
      <c r="G114" s="33">
        <f>IF(F114&lt;=0,0,MIN('Your debts'!$E$6,F114))</f>
        <v/>
      </c>
      <c r="H114" s="33">
        <f>F114-G114</f>
        <v/>
      </c>
      <c r="I114" s="33">
        <f>IF('Your debts'!$F$6="",0,MIN(H114,MAX(0,MAX(0,'Your debts'!$C$19-(G114+L114+Q114+V114+AA114+AF114+AK114+AP114+AU114+AZ114))-(IF(AND('Your debts'!$F$7&lt;&gt;"",'Your debts'!$F$6&lt;&gt;"",'Your debts'!$F$7&lt;'Your debts'!$F$6),M114,0)+IF(AND('Your debts'!$F$8&lt;&gt;"",'Your debts'!$F$6&lt;&gt;"",'Your debts'!$F$8&lt;'Your debts'!$F$6),R114,0)+IF(AND('Your debts'!$F$9&lt;&gt;"",'Your debts'!$F$6&lt;&gt;"",'Your debts'!$F$9&lt;'Your debts'!$F$6),W114,0)+IF(AND('Your debts'!$F$10&lt;&gt;"",'Your debts'!$F$6&lt;&gt;"",'Your debts'!$F$10&lt;'Your debts'!$F$6),AB114,0)+IF(AND('Your debts'!$F$11&lt;&gt;"",'Your debts'!$F$6&lt;&gt;"",'Your debts'!$F$11&lt;'Your debts'!$F$6),AG114,0)+IF(AND('Your debts'!$F$12&lt;&gt;"",'Your debts'!$F$6&lt;&gt;"",'Your debts'!$F$12&lt;'Your debts'!$F$6),AL114,0)+IF(AND('Your debts'!$F$13&lt;&gt;"",'Your debts'!$F$6&lt;&gt;"",'Your debts'!$F$13&lt;'Your debts'!$F$6),AQ114,0)+IF(AND('Your debts'!$F$14&lt;&gt;"",'Your debts'!$F$6&lt;&gt;"",'Your debts'!$F$14&lt;'Your debts'!$F$6),AV114,0)+IF(AND('Your debts'!$F$15&lt;&gt;"",'Your debts'!$F$6&lt;&gt;"",'Your debts'!$F$15&lt;'Your debts'!$F$6),BA114,0)))))</f>
        <v/>
      </c>
      <c r="J114" s="33">
        <f>H114-I114</f>
        <v/>
      </c>
      <c r="K114" s="33">
        <f>IF(O113&lt;=0,0,ROUND(O113*(1+'Your debts'!$D$7/1200),2))</f>
        <v/>
      </c>
      <c r="L114" s="33">
        <f>IF(K114&lt;=0,0,MIN('Your debts'!$E$7,K114))</f>
        <v/>
      </c>
      <c r="M114" s="33">
        <f>K114-L114</f>
        <v/>
      </c>
      <c r="N114" s="33">
        <f>IF('Your debts'!$F$7="",0,MIN(M114,MAX(0,MAX(0,'Your debts'!$C$19-(G114+L114+Q114+V114+AA114+AF114+AK114+AP114+AU114+AZ114))-(IF(AND('Your debts'!$F$6&lt;&gt;"",'Your debts'!$F$7&lt;&gt;"",'Your debts'!$F$6&lt;'Your debts'!$F$7),H114,0)+IF(AND('Your debts'!$F$8&lt;&gt;"",'Your debts'!$F$7&lt;&gt;"",'Your debts'!$F$8&lt;'Your debts'!$F$7),R114,0)+IF(AND('Your debts'!$F$9&lt;&gt;"",'Your debts'!$F$7&lt;&gt;"",'Your debts'!$F$9&lt;'Your debts'!$F$7),W114,0)+IF(AND('Your debts'!$F$10&lt;&gt;"",'Your debts'!$F$7&lt;&gt;"",'Your debts'!$F$10&lt;'Your debts'!$F$7),AB114,0)+IF(AND('Your debts'!$F$11&lt;&gt;"",'Your debts'!$F$7&lt;&gt;"",'Your debts'!$F$11&lt;'Your debts'!$F$7),AG114,0)+IF(AND('Your debts'!$F$12&lt;&gt;"",'Your debts'!$F$7&lt;&gt;"",'Your debts'!$F$12&lt;'Your debts'!$F$7),AL114,0)+IF(AND('Your debts'!$F$13&lt;&gt;"",'Your debts'!$F$7&lt;&gt;"",'Your debts'!$F$13&lt;'Your debts'!$F$7),AQ114,0)+IF(AND('Your debts'!$F$14&lt;&gt;"",'Your debts'!$F$7&lt;&gt;"",'Your debts'!$F$14&lt;'Your debts'!$F$7),AV114,0)+IF(AND('Your debts'!$F$15&lt;&gt;"",'Your debts'!$F$7&lt;&gt;"",'Your debts'!$F$15&lt;'Your debts'!$F$7),BA114,0)))))</f>
        <v/>
      </c>
      <c r="O114" s="33">
        <f>M114-N114</f>
        <v/>
      </c>
      <c r="P114" s="33">
        <f>IF(T113&lt;=0,0,ROUND(T113*(1+'Your debts'!$D$8/1200),2))</f>
        <v/>
      </c>
      <c r="Q114" s="33">
        <f>IF(P114&lt;=0,0,MIN('Your debts'!$E$8,P114))</f>
        <v/>
      </c>
      <c r="R114" s="33">
        <f>P114-Q114</f>
        <v/>
      </c>
      <c r="S114" s="33">
        <f>IF('Your debts'!$F$8="",0,MIN(R114,MAX(0,MAX(0,'Your debts'!$C$19-(G114+L114+Q114+V114+AA114+AF114+AK114+AP114+AU114+AZ114))-(IF(AND('Your debts'!$F$6&lt;&gt;"",'Your debts'!$F$8&lt;&gt;"",'Your debts'!$F$6&lt;'Your debts'!$F$8),H114,0)+IF(AND('Your debts'!$F$7&lt;&gt;"",'Your debts'!$F$8&lt;&gt;"",'Your debts'!$F$7&lt;'Your debts'!$F$8),M114,0)+IF(AND('Your debts'!$F$9&lt;&gt;"",'Your debts'!$F$8&lt;&gt;"",'Your debts'!$F$9&lt;'Your debts'!$F$8),W114,0)+IF(AND('Your debts'!$F$10&lt;&gt;"",'Your debts'!$F$8&lt;&gt;"",'Your debts'!$F$10&lt;'Your debts'!$F$8),AB114,0)+IF(AND('Your debts'!$F$11&lt;&gt;"",'Your debts'!$F$8&lt;&gt;"",'Your debts'!$F$11&lt;'Your debts'!$F$8),AG114,0)+IF(AND('Your debts'!$F$12&lt;&gt;"",'Your debts'!$F$8&lt;&gt;"",'Your debts'!$F$12&lt;'Your debts'!$F$8),AL114,0)+IF(AND('Your debts'!$F$13&lt;&gt;"",'Your debts'!$F$8&lt;&gt;"",'Your debts'!$F$13&lt;'Your debts'!$F$8),AQ114,0)+IF(AND('Your debts'!$F$14&lt;&gt;"",'Your debts'!$F$8&lt;&gt;"",'Your debts'!$F$14&lt;'Your debts'!$F$8),AV114,0)+IF(AND('Your debts'!$F$15&lt;&gt;"",'Your debts'!$F$8&lt;&gt;"",'Your debts'!$F$15&lt;'Your debts'!$F$8),BA114,0)))))</f>
        <v/>
      </c>
      <c r="T114" s="33">
        <f>R114-S114</f>
        <v/>
      </c>
      <c r="U114" s="33">
        <f>IF(Y113&lt;=0,0,ROUND(Y113*(1+'Your debts'!$D$9/1200),2))</f>
        <v/>
      </c>
      <c r="V114" s="33">
        <f>IF(U114&lt;=0,0,MIN('Your debts'!$E$9,U114))</f>
        <v/>
      </c>
      <c r="W114" s="33">
        <f>U114-V114</f>
        <v/>
      </c>
      <c r="X114" s="33">
        <f>IF('Your debts'!$F$9="",0,MIN(W114,MAX(0,MAX(0,'Your debts'!$C$19-(G114+L114+Q114+V114+AA114+AF114+AK114+AP114+AU114+AZ114))-(IF(AND('Your debts'!$F$6&lt;&gt;"",'Your debts'!$F$9&lt;&gt;"",'Your debts'!$F$6&lt;'Your debts'!$F$9),H114,0)+IF(AND('Your debts'!$F$7&lt;&gt;"",'Your debts'!$F$9&lt;&gt;"",'Your debts'!$F$7&lt;'Your debts'!$F$9),M114,0)+IF(AND('Your debts'!$F$8&lt;&gt;"",'Your debts'!$F$9&lt;&gt;"",'Your debts'!$F$8&lt;'Your debts'!$F$9),R114,0)+IF(AND('Your debts'!$F$10&lt;&gt;"",'Your debts'!$F$9&lt;&gt;"",'Your debts'!$F$10&lt;'Your debts'!$F$9),AB114,0)+IF(AND('Your debts'!$F$11&lt;&gt;"",'Your debts'!$F$9&lt;&gt;"",'Your debts'!$F$11&lt;'Your debts'!$F$9),AG114,0)+IF(AND('Your debts'!$F$12&lt;&gt;"",'Your debts'!$F$9&lt;&gt;"",'Your debts'!$F$12&lt;'Your debts'!$F$9),AL114,0)+IF(AND('Your debts'!$F$13&lt;&gt;"",'Your debts'!$F$9&lt;&gt;"",'Your debts'!$F$13&lt;'Your debts'!$F$9),AQ114,0)+IF(AND('Your debts'!$F$14&lt;&gt;"",'Your debts'!$F$9&lt;&gt;"",'Your debts'!$F$14&lt;'Your debts'!$F$9),AV114,0)+IF(AND('Your debts'!$F$15&lt;&gt;"",'Your debts'!$F$9&lt;&gt;"",'Your debts'!$F$15&lt;'Your debts'!$F$9),BA114,0)))))</f>
        <v/>
      </c>
      <c r="Y114" s="33">
        <f>W114-X114</f>
        <v/>
      </c>
      <c r="Z114" s="33">
        <f>IF(AD113&lt;=0,0,ROUND(AD113*(1+'Your debts'!$D$10/1200),2))</f>
        <v/>
      </c>
      <c r="AA114" s="33">
        <f>IF(Z114&lt;=0,0,MIN('Your debts'!$E$10,Z114))</f>
        <v/>
      </c>
      <c r="AB114" s="33">
        <f>Z114-AA114</f>
        <v/>
      </c>
      <c r="AC114" s="33">
        <f>IF('Your debts'!$F$10="",0,MIN(AB114,MAX(0,MAX(0,'Your debts'!$C$19-(G114+L114+Q114+V114+AA114+AF114+AK114+AP114+AU114+AZ114))-(IF(AND('Your debts'!$F$6&lt;&gt;"",'Your debts'!$F$10&lt;&gt;"",'Your debts'!$F$6&lt;'Your debts'!$F$10),H114,0)+IF(AND('Your debts'!$F$7&lt;&gt;"",'Your debts'!$F$10&lt;&gt;"",'Your debts'!$F$7&lt;'Your debts'!$F$10),M114,0)+IF(AND('Your debts'!$F$8&lt;&gt;"",'Your debts'!$F$10&lt;&gt;"",'Your debts'!$F$8&lt;'Your debts'!$F$10),R114,0)+IF(AND('Your debts'!$F$9&lt;&gt;"",'Your debts'!$F$10&lt;&gt;"",'Your debts'!$F$9&lt;'Your debts'!$F$10),W114,0)+IF(AND('Your debts'!$F$11&lt;&gt;"",'Your debts'!$F$10&lt;&gt;"",'Your debts'!$F$11&lt;'Your debts'!$F$10),AG114,0)+IF(AND('Your debts'!$F$12&lt;&gt;"",'Your debts'!$F$10&lt;&gt;"",'Your debts'!$F$12&lt;'Your debts'!$F$10),AL114,0)+IF(AND('Your debts'!$F$13&lt;&gt;"",'Your debts'!$F$10&lt;&gt;"",'Your debts'!$F$13&lt;'Your debts'!$F$10),AQ114,0)+IF(AND('Your debts'!$F$14&lt;&gt;"",'Your debts'!$F$10&lt;&gt;"",'Your debts'!$F$14&lt;'Your debts'!$F$10),AV114,0)+IF(AND('Your debts'!$F$15&lt;&gt;"",'Your debts'!$F$10&lt;&gt;"",'Your debts'!$F$15&lt;'Your debts'!$F$10),BA114,0)))))</f>
        <v/>
      </c>
      <c r="AD114" s="33">
        <f>AB114-AC114</f>
        <v/>
      </c>
      <c r="AE114" s="33">
        <f>IF(AI113&lt;=0,0,ROUND(AI113*(1+'Your debts'!$D$11/1200),2))</f>
        <v/>
      </c>
      <c r="AF114" s="33">
        <f>IF(AE114&lt;=0,0,MIN('Your debts'!$E$11,AE114))</f>
        <v/>
      </c>
      <c r="AG114" s="33">
        <f>AE114-AF114</f>
        <v/>
      </c>
      <c r="AH114" s="33">
        <f>IF('Your debts'!$F$11="",0,MIN(AG114,MAX(0,MAX(0,'Your debts'!$C$19-(G114+L114+Q114+V114+AA114+AF114+AK114+AP114+AU114+AZ114))-(IF(AND('Your debts'!$F$6&lt;&gt;"",'Your debts'!$F$11&lt;&gt;"",'Your debts'!$F$6&lt;'Your debts'!$F$11),H114,0)+IF(AND('Your debts'!$F$7&lt;&gt;"",'Your debts'!$F$11&lt;&gt;"",'Your debts'!$F$7&lt;'Your debts'!$F$11),M114,0)+IF(AND('Your debts'!$F$8&lt;&gt;"",'Your debts'!$F$11&lt;&gt;"",'Your debts'!$F$8&lt;'Your debts'!$F$11),R114,0)+IF(AND('Your debts'!$F$9&lt;&gt;"",'Your debts'!$F$11&lt;&gt;"",'Your debts'!$F$9&lt;'Your debts'!$F$11),W114,0)+IF(AND('Your debts'!$F$10&lt;&gt;"",'Your debts'!$F$11&lt;&gt;"",'Your debts'!$F$10&lt;'Your debts'!$F$11),AB114,0)+IF(AND('Your debts'!$F$12&lt;&gt;"",'Your debts'!$F$11&lt;&gt;"",'Your debts'!$F$12&lt;'Your debts'!$F$11),AL114,0)+IF(AND('Your debts'!$F$13&lt;&gt;"",'Your debts'!$F$11&lt;&gt;"",'Your debts'!$F$13&lt;'Your debts'!$F$11),AQ114,0)+IF(AND('Your debts'!$F$14&lt;&gt;"",'Your debts'!$F$11&lt;&gt;"",'Your debts'!$F$14&lt;'Your debts'!$F$11),AV114,0)+IF(AND('Your debts'!$F$15&lt;&gt;"",'Your debts'!$F$11&lt;&gt;"",'Your debts'!$F$15&lt;'Your debts'!$F$11),BA114,0)))))</f>
        <v/>
      </c>
      <c r="AI114" s="33">
        <f>AG114-AH114</f>
        <v/>
      </c>
      <c r="AJ114" s="33">
        <f>IF(AN113&lt;=0,0,ROUND(AN113*(1+'Your debts'!$D$12/1200),2))</f>
        <v/>
      </c>
      <c r="AK114" s="33">
        <f>IF(AJ114&lt;=0,0,MIN('Your debts'!$E$12,AJ114))</f>
        <v/>
      </c>
      <c r="AL114" s="33">
        <f>AJ114-AK114</f>
        <v/>
      </c>
      <c r="AM114" s="33">
        <f>IF('Your debts'!$F$12="",0,MIN(AL114,MAX(0,MAX(0,'Your debts'!$C$19-(G114+L114+Q114+V114+AA114+AF114+AK114+AP114+AU114+AZ114))-(IF(AND('Your debts'!$F$6&lt;&gt;"",'Your debts'!$F$12&lt;&gt;"",'Your debts'!$F$6&lt;'Your debts'!$F$12),H114,0)+IF(AND('Your debts'!$F$7&lt;&gt;"",'Your debts'!$F$12&lt;&gt;"",'Your debts'!$F$7&lt;'Your debts'!$F$12),M114,0)+IF(AND('Your debts'!$F$8&lt;&gt;"",'Your debts'!$F$12&lt;&gt;"",'Your debts'!$F$8&lt;'Your debts'!$F$12),R114,0)+IF(AND('Your debts'!$F$9&lt;&gt;"",'Your debts'!$F$12&lt;&gt;"",'Your debts'!$F$9&lt;'Your debts'!$F$12),W114,0)+IF(AND('Your debts'!$F$10&lt;&gt;"",'Your debts'!$F$12&lt;&gt;"",'Your debts'!$F$10&lt;'Your debts'!$F$12),AB114,0)+IF(AND('Your debts'!$F$11&lt;&gt;"",'Your debts'!$F$12&lt;&gt;"",'Your debts'!$F$11&lt;'Your debts'!$F$12),AG114,0)+IF(AND('Your debts'!$F$13&lt;&gt;"",'Your debts'!$F$12&lt;&gt;"",'Your debts'!$F$13&lt;'Your debts'!$F$12),AQ114,0)+IF(AND('Your debts'!$F$14&lt;&gt;"",'Your debts'!$F$12&lt;&gt;"",'Your debts'!$F$14&lt;'Your debts'!$F$12),AV114,0)+IF(AND('Your debts'!$F$15&lt;&gt;"",'Your debts'!$F$12&lt;&gt;"",'Your debts'!$F$15&lt;'Your debts'!$F$12),BA114,0)))))</f>
        <v/>
      </c>
      <c r="AN114" s="33">
        <f>AL114-AM114</f>
        <v/>
      </c>
      <c r="AO114" s="33">
        <f>IF(AS113&lt;=0,0,ROUND(AS113*(1+'Your debts'!$D$13/1200),2))</f>
        <v/>
      </c>
      <c r="AP114" s="33">
        <f>IF(AO114&lt;=0,0,MIN('Your debts'!$E$13,AO114))</f>
        <v/>
      </c>
      <c r="AQ114" s="33">
        <f>AO114-AP114</f>
        <v/>
      </c>
      <c r="AR114" s="33">
        <f>IF('Your debts'!$F$13="",0,MIN(AQ114,MAX(0,MAX(0,'Your debts'!$C$19-(G114+L114+Q114+V114+AA114+AF114+AK114+AP114+AU114+AZ114))-(IF(AND('Your debts'!$F$6&lt;&gt;"",'Your debts'!$F$13&lt;&gt;"",'Your debts'!$F$6&lt;'Your debts'!$F$13),H114,0)+IF(AND('Your debts'!$F$7&lt;&gt;"",'Your debts'!$F$13&lt;&gt;"",'Your debts'!$F$7&lt;'Your debts'!$F$13),M114,0)+IF(AND('Your debts'!$F$8&lt;&gt;"",'Your debts'!$F$13&lt;&gt;"",'Your debts'!$F$8&lt;'Your debts'!$F$13),R114,0)+IF(AND('Your debts'!$F$9&lt;&gt;"",'Your debts'!$F$13&lt;&gt;"",'Your debts'!$F$9&lt;'Your debts'!$F$13),W114,0)+IF(AND('Your debts'!$F$10&lt;&gt;"",'Your debts'!$F$13&lt;&gt;"",'Your debts'!$F$10&lt;'Your debts'!$F$13),AB114,0)+IF(AND('Your debts'!$F$11&lt;&gt;"",'Your debts'!$F$13&lt;&gt;"",'Your debts'!$F$11&lt;'Your debts'!$F$13),AG114,0)+IF(AND('Your debts'!$F$12&lt;&gt;"",'Your debts'!$F$13&lt;&gt;"",'Your debts'!$F$12&lt;'Your debts'!$F$13),AL114,0)+IF(AND('Your debts'!$F$14&lt;&gt;"",'Your debts'!$F$13&lt;&gt;"",'Your debts'!$F$14&lt;'Your debts'!$F$13),AV114,0)+IF(AND('Your debts'!$F$15&lt;&gt;"",'Your debts'!$F$13&lt;&gt;"",'Your debts'!$F$15&lt;'Your debts'!$F$13),BA114,0)))))</f>
        <v/>
      </c>
      <c r="AS114" s="33">
        <f>AQ114-AR114</f>
        <v/>
      </c>
      <c r="AT114" s="33">
        <f>IF(AX113&lt;=0,0,ROUND(AX113*(1+'Your debts'!$D$14/1200),2))</f>
        <v/>
      </c>
      <c r="AU114" s="33">
        <f>IF(AT114&lt;=0,0,MIN('Your debts'!$E$14,AT114))</f>
        <v/>
      </c>
      <c r="AV114" s="33">
        <f>AT114-AU114</f>
        <v/>
      </c>
      <c r="AW114" s="33">
        <f>IF('Your debts'!$F$14="",0,MIN(AV114,MAX(0,MAX(0,'Your debts'!$C$19-(G114+L114+Q114+V114+AA114+AF114+AK114+AP114+AU114+AZ114))-(IF(AND('Your debts'!$F$6&lt;&gt;"",'Your debts'!$F$14&lt;&gt;"",'Your debts'!$F$6&lt;'Your debts'!$F$14),H114,0)+IF(AND('Your debts'!$F$7&lt;&gt;"",'Your debts'!$F$14&lt;&gt;"",'Your debts'!$F$7&lt;'Your debts'!$F$14),M114,0)+IF(AND('Your debts'!$F$8&lt;&gt;"",'Your debts'!$F$14&lt;&gt;"",'Your debts'!$F$8&lt;'Your debts'!$F$14),R114,0)+IF(AND('Your debts'!$F$9&lt;&gt;"",'Your debts'!$F$14&lt;&gt;"",'Your debts'!$F$9&lt;'Your debts'!$F$14),W114,0)+IF(AND('Your debts'!$F$10&lt;&gt;"",'Your debts'!$F$14&lt;&gt;"",'Your debts'!$F$10&lt;'Your debts'!$F$14),AB114,0)+IF(AND('Your debts'!$F$11&lt;&gt;"",'Your debts'!$F$14&lt;&gt;"",'Your debts'!$F$11&lt;'Your debts'!$F$14),AG114,0)+IF(AND('Your debts'!$F$12&lt;&gt;"",'Your debts'!$F$14&lt;&gt;"",'Your debts'!$F$12&lt;'Your debts'!$F$14),AL114,0)+IF(AND('Your debts'!$F$13&lt;&gt;"",'Your debts'!$F$14&lt;&gt;"",'Your debts'!$F$13&lt;'Your debts'!$F$14),AQ114,0)+IF(AND('Your debts'!$F$15&lt;&gt;"",'Your debts'!$F$14&lt;&gt;"",'Your debts'!$F$15&lt;'Your debts'!$F$14),BA114,0)))))</f>
        <v/>
      </c>
      <c r="AX114" s="33">
        <f>AV114-AW114</f>
        <v/>
      </c>
      <c r="AY114" s="33">
        <f>IF(BC113&lt;=0,0,ROUND(BC113*(1+'Your debts'!$D$15/1200),2))</f>
        <v/>
      </c>
      <c r="AZ114" s="33">
        <f>IF(AY114&lt;=0,0,MIN('Your debts'!$E$15,AY114))</f>
        <v/>
      </c>
      <c r="BA114" s="33">
        <f>AY114-AZ114</f>
        <v/>
      </c>
      <c r="BB114" s="33">
        <f>IF('Your debts'!$F$15="",0,MIN(BA114,MAX(0,MAX(0,'Your debts'!$C$19-(G114+L114+Q114+V114+AA114+AF114+AK114+AP114+AU114+AZ114))-(IF(AND('Your debts'!$F$6&lt;&gt;"",'Your debts'!$F$15&lt;&gt;"",'Your debts'!$F$6&lt;'Your debts'!$F$15),H114,0)+IF(AND('Your debts'!$F$7&lt;&gt;"",'Your debts'!$F$15&lt;&gt;"",'Your debts'!$F$7&lt;'Your debts'!$F$15),M114,0)+IF(AND('Your debts'!$F$8&lt;&gt;"",'Your debts'!$F$15&lt;&gt;"",'Your debts'!$F$8&lt;'Your debts'!$F$15),R114,0)+IF(AND('Your debts'!$F$9&lt;&gt;"",'Your debts'!$F$15&lt;&gt;"",'Your debts'!$F$9&lt;'Your debts'!$F$15),W114,0)+IF(AND('Your debts'!$F$10&lt;&gt;"",'Your debts'!$F$15&lt;&gt;"",'Your debts'!$F$10&lt;'Your debts'!$F$15),AB114,0)+IF(AND('Your debts'!$F$11&lt;&gt;"",'Your debts'!$F$15&lt;&gt;"",'Your debts'!$F$11&lt;'Your debts'!$F$15),AG114,0)+IF(AND('Your debts'!$F$12&lt;&gt;"",'Your debts'!$F$15&lt;&gt;"",'Your debts'!$F$12&lt;'Your debts'!$F$15),AL114,0)+IF(AND('Your debts'!$F$13&lt;&gt;"",'Your debts'!$F$15&lt;&gt;"",'Your debts'!$F$13&lt;'Your debts'!$F$15),AQ114,0)+IF(AND('Your debts'!$F$14&lt;&gt;"",'Your debts'!$F$15&lt;&gt;"",'Your debts'!$F$14&lt;'Your debts'!$F$15),AV114,0)))))</f>
        <v/>
      </c>
      <c r="BC114" s="33">
        <f>BA114-BB114</f>
        <v/>
      </c>
    </row>
    <row r="115">
      <c r="A115" s="30" t="n">
        <v>100</v>
      </c>
      <c r="B115" s="31">
        <f>EDATE($B$15,100)</f>
        <v/>
      </c>
      <c r="C115" s="32">
        <f>IF(J114&lt;=0,0,F115-J114)+IF(O114&lt;=0,0,K115-O114)+IF(T114&lt;=0,0,P115-T114)+IF(Y114&lt;=0,0,U115-Y114)+IF(AD114&lt;=0,0,Z115-AD114)+IF(AI114&lt;=0,0,AE115-AI114)+IF(AN114&lt;=0,0,AJ115-AN114)+IF(AS114&lt;=0,0,AO115-AS114)+IF(AX114&lt;=0,0,AT115-AX114)+IF(BC114&lt;=0,0,AY115-BC114)</f>
        <v/>
      </c>
      <c r="D115" s="32">
        <f>G115+I115+L115+N115+Q115+S115+V115+X115+AA115+AC115+AF115+AH115+AK115+AM115+AP115+AR115+AU115+AW115+AZ115+BB115</f>
        <v/>
      </c>
      <c r="E115" s="32">
        <f>J115+O115+T115+Y115+AD115+AI115+AN115+AS115+AX115+BC115</f>
        <v/>
      </c>
      <c r="F115" s="33">
        <f>IF(J114&lt;=0,0,ROUND(J114*(1+'Your debts'!$D$6/1200),2))</f>
        <v/>
      </c>
      <c r="G115" s="33">
        <f>IF(F115&lt;=0,0,MIN('Your debts'!$E$6,F115))</f>
        <v/>
      </c>
      <c r="H115" s="33">
        <f>F115-G115</f>
        <v/>
      </c>
      <c r="I115" s="33">
        <f>IF('Your debts'!$F$6="",0,MIN(H115,MAX(0,MAX(0,'Your debts'!$C$19-(G115+L115+Q115+V115+AA115+AF115+AK115+AP115+AU115+AZ115))-(IF(AND('Your debts'!$F$7&lt;&gt;"",'Your debts'!$F$6&lt;&gt;"",'Your debts'!$F$7&lt;'Your debts'!$F$6),M115,0)+IF(AND('Your debts'!$F$8&lt;&gt;"",'Your debts'!$F$6&lt;&gt;"",'Your debts'!$F$8&lt;'Your debts'!$F$6),R115,0)+IF(AND('Your debts'!$F$9&lt;&gt;"",'Your debts'!$F$6&lt;&gt;"",'Your debts'!$F$9&lt;'Your debts'!$F$6),W115,0)+IF(AND('Your debts'!$F$10&lt;&gt;"",'Your debts'!$F$6&lt;&gt;"",'Your debts'!$F$10&lt;'Your debts'!$F$6),AB115,0)+IF(AND('Your debts'!$F$11&lt;&gt;"",'Your debts'!$F$6&lt;&gt;"",'Your debts'!$F$11&lt;'Your debts'!$F$6),AG115,0)+IF(AND('Your debts'!$F$12&lt;&gt;"",'Your debts'!$F$6&lt;&gt;"",'Your debts'!$F$12&lt;'Your debts'!$F$6),AL115,0)+IF(AND('Your debts'!$F$13&lt;&gt;"",'Your debts'!$F$6&lt;&gt;"",'Your debts'!$F$13&lt;'Your debts'!$F$6),AQ115,0)+IF(AND('Your debts'!$F$14&lt;&gt;"",'Your debts'!$F$6&lt;&gt;"",'Your debts'!$F$14&lt;'Your debts'!$F$6),AV115,0)+IF(AND('Your debts'!$F$15&lt;&gt;"",'Your debts'!$F$6&lt;&gt;"",'Your debts'!$F$15&lt;'Your debts'!$F$6),BA115,0)))))</f>
        <v/>
      </c>
      <c r="J115" s="33">
        <f>H115-I115</f>
        <v/>
      </c>
      <c r="K115" s="33">
        <f>IF(O114&lt;=0,0,ROUND(O114*(1+'Your debts'!$D$7/1200),2))</f>
        <v/>
      </c>
      <c r="L115" s="33">
        <f>IF(K115&lt;=0,0,MIN('Your debts'!$E$7,K115))</f>
        <v/>
      </c>
      <c r="M115" s="33">
        <f>K115-L115</f>
        <v/>
      </c>
      <c r="N115" s="33">
        <f>IF('Your debts'!$F$7="",0,MIN(M115,MAX(0,MAX(0,'Your debts'!$C$19-(G115+L115+Q115+V115+AA115+AF115+AK115+AP115+AU115+AZ115))-(IF(AND('Your debts'!$F$6&lt;&gt;"",'Your debts'!$F$7&lt;&gt;"",'Your debts'!$F$6&lt;'Your debts'!$F$7),H115,0)+IF(AND('Your debts'!$F$8&lt;&gt;"",'Your debts'!$F$7&lt;&gt;"",'Your debts'!$F$8&lt;'Your debts'!$F$7),R115,0)+IF(AND('Your debts'!$F$9&lt;&gt;"",'Your debts'!$F$7&lt;&gt;"",'Your debts'!$F$9&lt;'Your debts'!$F$7),W115,0)+IF(AND('Your debts'!$F$10&lt;&gt;"",'Your debts'!$F$7&lt;&gt;"",'Your debts'!$F$10&lt;'Your debts'!$F$7),AB115,0)+IF(AND('Your debts'!$F$11&lt;&gt;"",'Your debts'!$F$7&lt;&gt;"",'Your debts'!$F$11&lt;'Your debts'!$F$7),AG115,0)+IF(AND('Your debts'!$F$12&lt;&gt;"",'Your debts'!$F$7&lt;&gt;"",'Your debts'!$F$12&lt;'Your debts'!$F$7),AL115,0)+IF(AND('Your debts'!$F$13&lt;&gt;"",'Your debts'!$F$7&lt;&gt;"",'Your debts'!$F$13&lt;'Your debts'!$F$7),AQ115,0)+IF(AND('Your debts'!$F$14&lt;&gt;"",'Your debts'!$F$7&lt;&gt;"",'Your debts'!$F$14&lt;'Your debts'!$F$7),AV115,0)+IF(AND('Your debts'!$F$15&lt;&gt;"",'Your debts'!$F$7&lt;&gt;"",'Your debts'!$F$15&lt;'Your debts'!$F$7),BA115,0)))))</f>
        <v/>
      </c>
      <c r="O115" s="33">
        <f>M115-N115</f>
        <v/>
      </c>
      <c r="P115" s="33">
        <f>IF(T114&lt;=0,0,ROUND(T114*(1+'Your debts'!$D$8/1200),2))</f>
        <v/>
      </c>
      <c r="Q115" s="33">
        <f>IF(P115&lt;=0,0,MIN('Your debts'!$E$8,P115))</f>
        <v/>
      </c>
      <c r="R115" s="33">
        <f>P115-Q115</f>
        <v/>
      </c>
      <c r="S115" s="33">
        <f>IF('Your debts'!$F$8="",0,MIN(R115,MAX(0,MAX(0,'Your debts'!$C$19-(G115+L115+Q115+V115+AA115+AF115+AK115+AP115+AU115+AZ115))-(IF(AND('Your debts'!$F$6&lt;&gt;"",'Your debts'!$F$8&lt;&gt;"",'Your debts'!$F$6&lt;'Your debts'!$F$8),H115,0)+IF(AND('Your debts'!$F$7&lt;&gt;"",'Your debts'!$F$8&lt;&gt;"",'Your debts'!$F$7&lt;'Your debts'!$F$8),M115,0)+IF(AND('Your debts'!$F$9&lt;&gt;"",'Your debts'!$F$8&lt;&gt;"",'Your debts'!$F$9&lt;'Your debts'!$F$8),W115,0)+IF(AND('Your debts'!$F$10&lt;&gt;"",'Your debts'!$F$8&lt;&gt;"",'Your debts'!$F$10&lt;'Your debts'!$F$8),AB115,0)+IF(AND('Your debts'!$F$11&lt;&gt;"",'Your debts'!$F$8&lt;&gt;"",'Your debts'!$F$11&lt;'Your debts'!$F$8),AG115,0)+IF(AND('Your debts'!$F$12&lt;&gt;"",'Your debts'!$F$8&lt;&gt;"",'Your debts'!$F$12&lt;'Your debts'!$F$8),AL115,0)+IF(AND('Your debts'!$F$13&lt;&gt;"",'Your debts'!$F$8&lt;&gt;"",'Your debts'!$F$13&lt;'Your debts'!$F$8),AQ115,0)+IF(AND('Your debts'!$F$14&lt;&gt;"",'Your debts'!$F$8&lt;&gt;"",'Your debts'!$F$14&lt;'Your debts'!$F$8),AV115,0)+IF(AND('Your debts'!$F$15&lt;&gt;"",'Your debts'!$F$8&lt;&gt;"",'Your debts'!$F$15&lt;'Your debts'!$F$8),BA115,0)))))</f>
        <v/>
      </c>
      <c r="T115" s="33">
        <f>R115-S115</f>
        <v/>
      </c>
      <c r="U115" s="33">
        <f>IF(Y114&lt;=0,0,ROUND(Y114*(1+'Your debts'!$D$9/1200),2))</f>
        <v/>
      </c>
      <c r="V115" s="33">
        <f>IF(U115&lt;=0,0,MIN('Your debts'!$E$9,U115))</f>
        <v/>
      </c>
      <c r="W115" s="33">
        <f>U115-V115</f>
        <v/>
      </c>
      <c r="X115" s="33">
        <f>IF('Your debts'!$F$9="",0,MIN(W115,MAX(0,MAX(0,'Your debts'!$C$19-(G115+L115+Q115+V115+AA115+AF115+AK115+AP115+AU115+AZ115))-(IF(AND('Your debts'!$F$6&lt;&gt;"",'Your debts'!$F$9&lt;&gt;"",'Your debts'!$F$6&lt;'Your debts'!$F$9),H115,0)+IF(AND('Your debts'!$F$7&lt;&gt;"",'Your debts'!$F$9&lt;&gt;"",'Your debts'!$F$7&lt;'Your debts'!$F$9),M115,0)+IF(AND('Your debts'!$F$8&lt;&gt;"",'Your debts'!$F$9&lt;&gt;"",'Your debts'!$F$8&lt;'Your debts'!$F$9),R115,0)+IF(AND('Your debts'!$F$10&lt;&gt;"",'Your debts'!$F$9&lt;&gt;"",'Your debts'!$F$10&lt;'Your debts'!$F$9),AB115,0)+IF(AND('Your debts'!$F$11&lt;&gt;"",'Your debts'!$F$9&lt;&gt;"",'Your debts'!$F$11&lt;'Your debts'!$F$9),AG115,0)+IF(AND('Your debts'!$F$12&lt;&gt;"",'Your debts'!$F$9&lt;&gt;"",'Your debts'!$F$12&lt;'Your debts'!$F$9),AL115,0)+IF(AND('Your debts'!$F$13&lt;&gt;"",'Your debts'!$F$9&lt;&gt;"",'Your debts'!$F$13&lt;'Your debts'!$F$9),AQ115,0)+IF(AND('Your debts'!$F$14&lt;&gt;"",'Your debts'!$F$9&lt;&gt;"",'Your debts'!$F$14&lt;'Your debts'!$F$9),AV115,0)+IF(AND('Your debts'!$F$15&lt;&gt;"",'Your debts'!$F$9&lt;&gt;"",'Your debts'!$F$15&lt;'Your debts'!$F$9),BA115,0)))))</f>
        <v/>
      </c>
      <c r="Y115" s="33">
        <f>W115-X115</f>
        <v/>
      </c>
      <c r="Z115" s="33">
        <f>IF(AD114&lt;=0,0,ROUND(AD114*(1+'Your debts'!$D$10/1200),2))</f>
        <v/>
      </c>
      <c r="AA115" s="33">
        <f>IF(Z115&lt;=0,0,MIN('Your debts'!$E$10,Z115))</f>
        <v/>
      </c>
      <c r="AB115" s="33">
        <f>Z115-AA115</f>
        <v/>
      </c>
      <c r="AC115" s="33">
        <f>IF('Your debts'!$F$10="",0,MIN(AB115,MAX(0,MAX(0,'Your debts'!$C$19-(G115+L115+Q115+V115+AA115+AF115+AK115+AP115+AU115+AZ115))-(IF(AND('Your debts'!$F$6&lt;&gt;"",'Your debts'!$F$10&lt;&gt;"",'Your debts'!$F$6&lt;'Your debts'!$F$10),H115,0)+IF(AND('Your debts'!$F$7&lt;&gt;"",'Your debts'!$F$10&lt;&gt;"",'Your debts'!$F$7&lt;'Your debts'!$F$10),M115,0)+IF(AND('Your debts'!$F$8&lt;&gt;"",'Your debts'!$F$10&lt;&gt;"",'Your debts'!$F$8&lt;'Your debts'!$F$10),R115,0)+IF(AND('Your debts'!$F$9&lt;&gt;"",'Your debts'!$F$10&lt;&gt;"",'Your debts'!$F$9&lt;'Your debts'!$F$10),W115,0)+IF(AND('Your debts'!$F$11&lt;&gt;"",'Your debts'!$F$10&lt;&gt;"",'Your debts'!$F$11&lt;'Your debts'!$F$10),AG115,0)+IF(AND('Your debts'!$F$12&lt;&gt;"",'Your debts'!$F$10&lt;&gt;"",'Your debts'!$F$12&lt;'Your debts'!$F$10),AL115,0)+IF(AND('Your debts'!$F$13&lt;&gt;"",'Your debts'!$F$10&lt;&gt;"",'Your debts'!$F$13&lt;'Your debts'!$F$10),AQ115,0)+IF(AND('Your debts'!$F$14&lt;&gt;"",'Your debts'!$F$10&lt;&gt;"",'Your debts'!$F$14&lt;'Your debts'!$F$10),AV115,0)+IF(AND('Your debts'!$F$15&lt;&gt;"",'Your debts'!$F$10&lt;&gt;"",'Your debts'!$F$15&lt;'Your debts'!$F$10),BA115,0)))))</f>
        <v/>
      </c>
      <c r="AD115" s="33">
        <f>AB115-AC115</f>
        <v/>
      </c>
      <c r="AE115" s="33">
        <f>IF(AI114&lt;=0,0,ROUND(AI114*(1+'Your debts'!$D$11/1200),2))</f>
        <v/>
      </c>
      <c r="AF115" s="33">
        <f>IF(AE115&lt;=0,0,MIN('Your debts'!$E$11,AE115))</f>
        <v/>
      </c>
      <c r="AG115" s="33">
        <f>AE115-AF115</f>
        <v/>
      </c>
      <c r="AH115" s="33">
        <f>IF('Your debts'!$F$11="",0,MIN(AG115,MAX(0,MAX(0,'Your debts'!$C$19-(G115+L115+Q115+V115+AA115+AF115+AK115+AP115+AU115+AZ115))-(IF(AND('Your debts'!$F$6&lt;&gt;"",'Your debts'!$F$11&lt;&gt;"",'Your debts'!$F$6&lt;'Your debts'!$F$11),H115,0)+IF(AND('Your debts'!$F$7&lt;&gt;"",'Your debts'!$F$11&lt;&gt;"",'Your debts'!$F$7&lt;'Your debts'!$F$11),M115,0)+IF(AND('Your debts'!$F$8&lt;&gt;"",'Your debts'!$F$11&lt;&gt;"",'Your debts'!$F$8&lt;'Your debts'!$F$11),R115,0)+IF(AND('Your debts'!$F$9&lt;&gt;"",'Your debts'!$F$11&lt;&gt;"",'Your debts'!$F$9&lt;'Your debts'!$F$11),W115,0)+IF(AND('Your debts'!$F$10&lt;&gt;"",'Your debts'!$F$11&lt;&gt;"",'Your debts'!$F$10&lt;'Your debts'!$F$11),AB115,0)+IF(AND('Your debts'!$F$12&lt;&gt;"",'Your debts'!$F$11&lt;&gt;"",'Your debts'!$F$12&lt;'Your debts'!$F$11),AL115,0)+IF(AND('Your debts'!$F$13&lt;&gt;"",'Your debts'!$F$11&lt;&gt;"",'Your debts'!$F$13&lt;'Your debts'!$F$11),AQ115,0)+IF(AND('Your debts'!$F$14&lt;&gt;"",'Your debts'!$F$11&lt;&gt;"",'Your debts'!$F$14&lt;'Your debts'!$F$11),AV115,0)+IF(AND('Your debts'!$F$15&lt;&gt;"",'Your debts'!$F$11&lt;&gt;"",'Your debts'!$F$15&lt;'Your debts'!$F$11),BA115,0)))))</f>
        <v/>
      </c>
      <c r="AI115" s="33">
        <f>AG115-AH115</f>
        <v/>
      </c>
      <c r="AJ115" s="33">
        <f>IF(AN114&lt;=0,0,ROUND(AN114*(1+'Your debts'!$D$12/1200),2))</f>
        <v/>
      </c>
      <c r="AK115" s="33">
        <f>IF(AJ115&lt;=0,0,MIN('Your debts'!$E$12,AJ115))</f>
        <v/>
      </c>
      <c r="AL115" s="33">
        <f>AJ115-AK115</f>
        <v/>
      </c>
      <c r="AM115" s="33">
        <f>IF('Your debts'!$F$12="",0,MIN(AL115,MAX(0,MAX(0,'Your debts'!$C$19-(G115+L115+Q115+V115+AA115+AF115+AK115+AP115+AU115+AZ115))-(IF(AND('Your debts'!$F$6&lt;&gt;"",'Your debts'!$F$12&lt;&gt;"",'Your debts'!$F$6&lt;'Your debts'!$F$12),H115,0)+IF(AND('Your debts'!$F$7&lt;&gt;"",'Your debts'!$F$12&lt;&gt;"",'Your debts'!$F$7&lt;'Your debts'!$F$12),M115,0)+IF(AND('Your debts'!$F$8&lt;&gt;"",'Your debts'!$F$12&lt;&gt;"",'Your debts'!$F$8&lt;'Your debts'!$F$12),R115,0)+IF(AND('Your debts'!$F$9&lt;&gt;"",'Your debts'!$F$12&lt;&gt;"",'Your debts'!$F$9&lt;'Your debts'!$F$12),W115,0)+IF(AND('Your debts'!$F$10&lt;&gt;"",'Your debts'!$F$12&lt;&gt;"",'Your debts'!$F$10&lt;'Your debts'!$F$12),AB115,0)+IF(AND('Your debts'!$F$11&lt;&gt;"",'Your debts'!$F$12&lt;&gt;"",'Your debts'!$F$11&lt;'Your debts'!$F$12),AG115,0)+IF(AND('Your debts'!$F$13&lt;&gt;"",'Your debts'!$F$12&lt;&gt;"",'Your debts'!$F$13&lt;'Your debts'!$F$12),AQ115,0)+IF(AND('Your debts'!$F$14&lt;&gt;"",'Your debts'!$F$12&lt;&gt;"",'Your debts'!$F$14&lt;'Your debts'!$F$12),AV115,0)+IF(AND('Your debts'!$F$15&lt;&gt;"",'Your debts'!$F$12&lt;&gt;"",'Your debts'!$F$15&lt;'Your debts'!$F$12),BA115,0)))))</f>
        <v/>
      </c>
      <c r="AN115" s="33">
        <f>AL115-AM115</f>
        <v/>
      </c>
      <c r="AO115" s="33">
        <f>IF(AS114&lt;=0,0,ROUND(AS114*(1+'Your debts'!$D$13/1200),2))</f>
        <v/>
      </c>
      <c r="AP115" s="33">
        <f>IF(AO115&lt;=0,0,MIN('Your debts'!$E$13,AO115))</f>
        <v/>
      </c>
      <c r="AQ115" s="33">
        <f>AO115-AP115</f>
        <v/>
      </c>
      <c r="AR115" s="33">
        <f>IF('Your debts'!$F$13="",0,MIN(AQ115,MAX(0,MAX(0,'Your debts'!$C$19-(G115+L115+Q115+V115+AA115+AF115+AK115+AP115+AU115+AZ115))-(IF(AND('Your debts'!$F$6&lt;&gt;"",'Your debts'!$F$13&lt;&gt;"",'Your debts'!$F$6&lt;'Your debts'!$F$13),H115,0)+IF(AND('Your debts'!$F$7&lt;&gt;"",'Your debts'!$F$13&lt;&gt;"",'Your debts'!$F$7&lt;'Your debts'!$F$13),M115,0)+IF(AND('Your debts'!$F$8&lt;&gt;"",'Your debts'!$F$13&lt;&gt;"",'Your debts'!$F$8&lt;'Your debts'!$F$13),R115,0)+IF(AND('Your debts'!$F$9&lt;&gt;"",'Your debts'!$F$13&lt;&gt;"",'Your debts'!$F$9&lt;'Your debts'!$F$13),W115,0)+IF(AND('Your debts'!$F$10&lt;&gt;"",'Your debts'!$F$13&lt;&gt;"",'Your debts'!$F$10&lt;'Your debts'!$F$13),AB115,0)+IF(AND('Your debts'!$F$11&lt;&gt;"",'Your debts'!$F$13&lt;&gt;"",'Your debts'!$F$11&lt;'Your debts'!$F$13),AG115,0)+IF(AND('Your debts'!$F$12&lt;&gt;"",'Your debts'!$F$13&lt;&gt;"",'Your debts'!$F$12&lt;'Your debts'!$F$13),AL115,0)+IF(AND('Your debts'!$F$14&lt;&gt;"",'Your debts'!$F$13&lt;&gt;"",'Your debts'!$F$14&lt;'Your debts'!$F$13),AV115,0)+IF(AND('Your debts'!$F$15&lt;&gt;"",'Your debts'!$F$13&lt;&gt;"",'Your debts'!$F$15&lt;'Your debts'!$F$13),BA115,0)))))</f>
        <v/>
      </c>
      <c r="AS115" s="33">
        <f>AQ115-AR115</f>
        <v/>
      </c>
      <c r="AT115" s="33">
        <f>IF(AX114&lt;=0,0,ROUND(AX114*(1+'Your debts'!$D$14/1200),2))</f>
        <v/>
      </c>
      <c r="AU115" s="33">
        <f>IF(AT115&lt;=0,0,MIN('Your debts'!$E$14,AT115))</f>
        <v/>
      </c>
      <c r="AV115" s="33">
        <f>AT115-AU115</f>
        <v/>
      </c>
      <c r="AW115" s="33">
        <f>IF('Your debts'!$F$14="",0,MIN(AV115,MAX(0,MAX(0,'Your debts'!$C$19-(G115+L115+Q115+V115+AA115+AF115+AK115+AP115+AU115+AZ115))-(IF(AND('Your debts'!$F$6&lt;&gt;"",'Your debts'!$F$14&lt;&gt;"",'Your debts'!$F$6&lt;'Your debts'!$F$14),H115,0)+IF(AND('Your debts'!$F$7&lt;&gt;"",'Your debts'!$F$14&lt;&gt;"",'Your debts'!$F$7&lt;'Your debts'!$F$14),M115,0)+IF(AND('Your debts'!$F$8&lt;&gt;"",'Your debts'!$F$14&lt;&gt;"",'Your debts'!$F$8&lt;'Your debts'!$F$14),R115,0)+IF(AND('Your debts'!$F$9&lt;&gt;"",'Your debts'!$F$14&lt;&gt;"",'Your debts'!$F$9&lt;'Your debts'!$F$14),W115,0)+IF(AND('Your debts'!$F$10&lt;&gt;"",'Your debts'!$F$14&lt;&gt;"",'Your debts'!$F$10&lt;'Your debts'!$F$14),AB115,0)+IF(AND('Your debts'!$F$11&lt;&gt;"",'Your debts'!$F$14&lt;&gt;"",'Your debts'!$F$11&lt;'Your debts'!$F$14),AG115,0)+IF(AND('Your debts'!$F$12&lt;&gt;"",'Your debts'!$F$14&lt;&gt;"",'Your debts'!$F$12&lt;'Your debts'!$F$14),AL115,0)+IF(AND('Your debts'!$F$13&lt;&gt;"",'Your debts'!$F$14&lt;&gt;"",'Your debts'!$F$13&lt;'Your debts'!$F$14),AQ115,0)+IF(AND('Your debts'!$F$15&lt;&gt;"",'Your debts'!$F$14&lt;&gt;"",'Your debts'!$F$15&lt;'Your debts'!$F$14),BA115,0)))))</f>
        <v/>
      </c>
      <c r="AX115" s="33">
        <f>AV115-AW115</f>
        <v/>
      </c>
      <c r="AY115" s="33">
        <f>IF(BC114&lt;=0,0,ROUND(BC114*(1+'Your debts'!$D$15/1200),2))</f>
        <v/>
      </c>
      <c r="AZ115" s="33">
        <f>IF(AY115&lt;=0,0,MIN('Your debts'!$E$15,AY115))</f>
        <v/>
      </c>
      <c r="BA115" s="33">
        <f>AY115-AZ115</f>
        <v/>
      </c>
      <c r="BB115" s="33">
        <f>IF('Your debts'!$F$15="",0,MIN(BA115,MAX(0,MAX(0,'Your debts'!$C$19-(G115+L115+Q115+V115+AA115+AF115+AK115+AP115+AU115+AZ115))-(IF(AND('Your debts'!$F$6&lt;&gt;"",'Your debts'!$F$15&lt;&gt;"",'Your debts'!$F$6&lt;'Your debts'!$F$15),H115,0)+IF(AND('Your debts'!$F$7&lt;&gt;"",'Your debts'!$F$15&lt;&gt;"",'Your debts'!$F$7&lt;'Your debts'!$F$15),M115,0)+IF(AND('Your debts'!$F$8&lt;&gt;"",'Your debts'!$F$15&lt;&gt;"",'Your debts'!$F$8&lt;'Your debts'!$F$15),R115,0)+IF(AND('Your debts'!$F$9&lt;&gt;"",'Your debts'!$F$15&lt;&gt;"",'Your debts'!$F$9&lt;'Your debts'!$F$15),W115,0)+IF(AND('Your debts'!$F$10&lt;&gt;"",'Your debts'!$F$15&lt;&gt;"",'Your debts'!$F$10&lt;'Your debts'!$F$15),AB115,0)+IF(AND('Your debts'!$F$11&lt;&gt;"",'Your debts'!$F$15&lt;&gt;"",'Your debts'!$F$11&lt;'Your debts'!$F$15),AG115,0)+IF(AND('Your debts'!$F$12&lt;&gt;"",'Your debts'!$F$15&lt;&gt;"",'Your debts'!$F$12&lt;'Your debts'!$F$15),AL115,0)+IF(AND('Your debts'!$F$13&lt;&gt;"",'Your debts'!$F$15&lt;&gt;"",'Your debts'!$F$13&lt;'Your debts'!$F$15),AQ115,0)+IF(AND('Your debts'!$F$14&lt;&gt;"",'Your debts'!$F$15&lt;&gt;"",'Your debts'!$F$14&lt;'Your debts'!$F$15),AV115,0)))))</f>
        <v/>
      </c>
      <c r="BC115" s="33">
        <f>BA115-BB115</f>
        <v/>
      </c>
    </row>
    <row r="116">
      <c r="A116" s="30" t="n">
        <v>101</v>
      </c>
      <c r="B116" s="31">
        <f>EDATE($B$15,101)</f>
        <v/>
      </c>
      <c r="C116" s="32">
        <f>IF(J115&lt;=0,0,F116-J115)+IF(O115&lt;=0,0,K116-O115)+IF(T115&lt;=0,0,P116-T115)+IF(Y115&lt;=0,0,U116-Y115)+IF(AD115&lt;=0,0,Z116-AD115)+IF(AI115&lt;=0,0,AE116-AI115)+IF(AN115&lt;=0,0,AJ116-AN115)+IF(AS115&lt;=0,0,AO116-AS115)+IF(AX115&lt;=0,0,AT116-AX115)+IF(BC115&lt;=0,0,AY116-BC115)</f>
        <v/>
      </c>
      <c r="D116" s="32">
        <f>G116+I116+L116+N116+Q116+S116+V116+X116+AA116+AC116+AF116+AH116+AK116+AM116+AP116+AR116+AU116+AW116+AZ116+BB116</f>
        <v/>
      </c>
      <c r="E116" s="32">
        <f>J116+O116+T116+Y116+AD116+AI116+AN116+AS116+AX116+BC116</f>
        <v/>
      </c>
      <c r="F116" s="33">
        <f>IF(J115&lt;=0,0,ROUND(J115*(1+'Your debts'!$D$6/1200),2))</f>
        <v/>
      </c>
      <c r="G116" s="33">
        <f>IF(F116&lt;=0,0,MIN('Your debts'!$E$6,F116))</f>
        <v/>
      </c>
      <c r="H116" s="33">
        <f>F116-G116</f>
        <v/>
      </c>
      <c r="I116" s="33">
        <f>IF('Your debts'!$F$6="",0,MIN(H116,MAX(0,MAX(0,'Your debts'!$C$19-(G116+L116+Q116+V116+AA116+AF116+AK116+AP116+AU116+AZ116))-(IF(AND('Your debts'!$F$7&lt;&gt;"",'Your debts'!$F$6&lt;&gt;"",'Your debts'!$F$7&lt;'Your debts'!$F$6),M116,0)+IF(AND('Your debts'!$F$8&lt;&gt;"",'Your debts'!$F$6&lt;&gt;"",'Your debts'!$F$8&lt;'Your debts'!$F$6),R116,0)+IF(AND('Your debts'!$F$9&lt;&gt;"",'Your debts'!$F$6&lt;&gt;"",'Your debts'!$F$9&lt;'Your debts'!$F$6),W116,0)+IF(AND('Your debts'!$F$10&lt;&gt;"",'Your debts'!$F$6&lt;&gt;"",'Your debts'!$F$10&lt;'Your debts'!$F$6),AB116,0)+IF(AND('Your debts'!$F$11&lt;&gt;"",'Your debts'!$F$6&lt;&gt;"",'Your debts'!$F$11&lt;'Your debts'!$F$6),AG116,0)+IF(AND('Your debts'!$F$12&lt;&gt;"",'Your debts'!$F$6&lt;&gt;"",'Your debts'!$F$12&lt;'Your debts'!$F$6),AL116,0)+IF(AND('Your debts'!$F$13&lt;&gt;"",'Your debts'!$F$6&lt;&gt;"",'Your debts'!$F$13&lt;'Your debts'!$F$6),AQ116,0)+IF(AND('Your debts'!$F$14&lt;&gt;"",'Your debts'!$F$6&lt;&gt;"",'Your debts'!$F$14&lt;'Your debts'!$F$6),AV116,0)+IF(AND('Your debts'!$F$15&lt;&gt;"",'Your debts'!$F$6&lt;&gt;"",'Your debts'!$F$15&lt;'Your debts'!$F$6),BA116,0)))))</f>
        <v/>
      </c>
      <c r="J116" s="33">
        <f>H116-I116</f>
        <v/>
      </c>
      <c r="K116" s="33">
        <f>IF(O115&lt;=0,0,ROUND(O115*(1+'Your debts'!$D$7/1200),2))</f>
        <v/>
      </c>
      <c r="L116" s="33">
        <f>IF(K116&lt;=0,0,MIN('Your debts'!$E$7,K116))</f>
        <v/>
      </c>
      <c r="M116" s="33">
        <f>K116-L116</f>
        <v/>
      </c>
      <c r="N116" s="33">
        <f>IF('Your debts'!$F$7="",0,MIN(M116,MAX(0,MAX(0,'Your debts'!$C$19-(G116+L116+Q116+V116+AA116+AF116+AK116+AP116+AU116+AZ116))-(IF(AND('Your debts'!$F$6&lt;&gt;"",'Your debts'!$F$7&lt;&gt;"",'Your debts'!$F$6&lt;'Your debts'!$F$7),H116,0)+IF(AND('Your debts'!$F$8&lt;&gt;"",'Your debts'!$F$7&lt;&gt;"",'Your debts'!$F$8&lt;'Your debts'!$F$7),R116,0)+IF(AND('Your debts'!$F$9&lt;&gt;"",'Your debts'!$F$7&lt;&gt;"",'Your debts'!$F$9&lt;'Your debts'!$F$7),W116,0)+IF(AND('Your debts'!$F$10&lt;&gt;"",'Your debts'!$F$7&lt;&gt;"",'Your debts'!$F$10&lt;'Your debts'!$F$7),AB116,0)+IF(AND('Your debts'!$F$11&lt;&gt;"",'Your debts'!$F$7&lt;&gt;"",'Your debts'!$F$11&lt;'Your debts'!$F$7),AG116,0)+IF(AND('Your debts'!$F$12&lt;&gt;"",'Your debts'!$F$7&lt;&gt;"",'Your debts'!$F$12&lt;'Your debts'!$F$7),AL116,0)+IF(AND('Your debts'!$F$13&lt;&gt;"",'Your debts'!$F$7&lt;&gt;"",'Your debts'!$F$13&lt;'Your debts'!$F$7),AQ116,0)+IF(AND('Your debts'!$F$14&lt;&gt;"",'Your debts'!$F$7&lt;&gt;"",'Your debts'!$F$14&lt;'Your debts'!$F$7),AV116,0)+IF(AND('Your debts'!$F$15&lt;&gt;"",'Your debts'!$F$7&lt;&gt;"",'Your debts'!$F$15&lt;'Your debts'!$F$7),BA116,0)))))</f>
        <v/>
      </c>
      <c r="O116" s="33">
        <f>M116-N116</f>
        <v/>
      </c>
      <c r="P116" s="33">
        <f>IF(T115&lt;=0,0,ROUND(T115*(1+'Your debts'!$D$8/1200),2))</f>
        <v/>
      </c>
      <c r="Q116" s="33">
        <f>IF(P116&lt;=0,0,MIN('Your debts'!$E$8,P116))</f>
        <v/>
      </c>
      <c r="R116" s="33">
        <f>P116-Q116</f>
        <v/>
      </c>
      <c r="S116" s="33">
        <f>IF('Your debts'!$F$8="",0,MIN(R116,MAX(0,MAX(0,'Your debts'!$C$19-(G116+L116+Q116+V116+AA116+AF116+AK116+AP116+AU116+AZ116))-(IF(AND('Your debts'!$F$6&lt;&gt;"",'Your debts'!$F$8&lt;&gt;"",'Your debts'!$F$6&lt;'Your debts'!$F$8),H116,0)+IF(AND('Your debts'!$F$7&lt;&gt;"",'Your debts'!$F$8&lt;&gt;"",'Your debts'!$F$7&lt;'Your debts'!$F$8),M116,0)+IF(AND('Your debts'!$F$9&lt;&gt;"",'Your debts'!$F$8&lt;&gt;"",'Your debts'!$F$9&lt;'Your debts'!$F$8),W116,0)+IF(AND('Your debts'!$F$10&lt;&gt;"",'Your debts'!$F$8&lt;&gt;"",'Your debts'!$F$10&lt;'Your debts'!$F$8),AB116,0)+IF(AND('Your debts'!$F$11&lt;&gt;"",'Your debts'!$F$8&lt;&gt;"",'Your debts'!$F$11&lt;'Your debts'!$F$8),AG116,0)+IF(AND('Your debts'!$F$12&lt;&gt;"",'Your debts'!$F$8&lt;&gt;"",'Your debts'!$F$12&lt;'Your debts'!$F$8),AL116,0)+IF(AND('Your debts'!$F$13&lt;&gt;"",'Your debts'!$F$8&lt;&gt;"",'Your debts'!$F$13&lt;'Your debts'!$F$8),AQ116,0)+IF(AND('Your debts'!$F$14&lt;&gt;"",'Your debts'!$F$8&lt;&gt;"",'Your debts'!$F$14&lt;'Your debts'!$F$8),AV116,0)+IF(AND('Your debts'!$F$15&lt;&gt;"",'Your debts'!$F$8&lt;&gt;"",'Your debts'!$F$15&lt;'Your debts'!$F$8),BA116,0)))))</f>
        <v/>
      </c>
      <c r="T116" s="33">
        <f>R116-S116</f>
        <v/>
      </c>
      <c r="U116" s="33">
        <f>IF(Y115&lt;=0,0,ROUND(Y115*(1+'Your debts'!$D$9/1200),2))</f>
        <v/>
      </c>
      <c r="V116" s="33">
        <f>IF(U116&lt;=0,0,MIN('Your debts'!$E$9,U116))</f>
        <v/>
      </c>
      <c r="W116" s="33">
        <f>U116-V116</f>
        <v/>
      </c>
      <c r="X116" s="33">
        <f>IF('Your debts'!$F$9="",0,MIN(W116,MAX(0,MAX(0,'Your debts'!$C$19-(G116+L116+Q116+V116+AA116+AF116+AK116+AP116+AU116+AZ116))-(IF(AND('Your debts'!$F$6&lt;&gt;"",'Your debts'!$F$9&lt;&gt;"",'Your debts'!$F$6&lt;'Your debts'!$F$9),H116,0)+IF(AND('Your debts'!$F$7&lt;&gt;"",'Your debts'!$F$9&lt;&gt;"",'Your debts'!$F$7&lt;'Your debts'!$F$9),M116,0)+IF(AND('Your debts'!$F$8&lt;&gt;"",'Your debts'!$F$9&lt;&gt;"",'Your debts'!$F$8&lt;'Your debts'!$F$9),R116,0)+IF(AND('Your debts'!$F$10&lt;&gt;"",'Your debts'!$F$9&lt;&gt;"",'Your debts'!$F$10&lt;'Your debts'!$F$9),AB116,0)+IF(AND('Your debts'!$F$11&lt;&gt;"",'Your debts'!$F$9&lt;&gt;"",'Your debts'!$F$11&lt;'Your debts'!$F$9),AG116,0)+IF(AND('Your debts'!$F$12&lt;&gt;"",'Your debts'!$F$9&lt;&gt;"",'Your debts'!$F$12&lt;'Your debts'!$F$9),AL116,0)+IF(AND('Your debts'!$F$13&lt;&gt;"",'Your debts'!$F$9&lt;&gt;"",'Your debts'!$F$13&lt;'Your debts'!$F$9),AQ116,0)+IF(AND('Your debts'!$F$14&lt;&gt;"",'Your debts'!$F$9&lt;&gt;"",'Your debts'!$F$14&lt;'Your debts'!$F$9),AV116,0)+IF(AND('Your debts'!$F$15&lt;&gt;"",'Your debts'!$F$9&lt;&gt;"",'Your debts'!$F$15&lt;'Your debts'!$F$9),BA116,0)))))</f>
        <v/>
      </c>
      <c r="Y116" s="33">
        <f>W116-X116</f>
        <v/>
      </c>
      <c r="Z116" s="33">
        <f>IF(AD115&lt;=0,0,ROUND(AD115*(1+'Your debts'!$D$10/1200),2))</f>
        <v/>
      </c>
      <c r="AA116" s="33">
        <f>IF(Z116&lt;=0,0,MIN('Your debts'!$E$10,Z116))</f>
        <v/>
      </c>
      <c r="AB116" s="33">
        <f>Z116-AA116</f>
        <v/>
      </c>
      <c r="AC116" s="33">
        <f>IF('Your debts'!$F$10="",0,MIN(AB116,MAX(0,MAX(0,'Your debts'!$C$19-(G116+L116+Q116+V116+AA116+AF116+AK116+AP116+AU116+AZ116))-(IF(AND('Your debts'!$F$6&lt;&gt;"",'Your debts'!$F$10&lt;&gt;"",'Your debts'!$F$6&lt;'Your debts'!$F$10),H116,0)+IF(AND('Your debts'!$F$7&lt;&gt;"",'Your debts'!$F$10&lt;&gt;"",'Your debts'!$F$7&lt;'Your debts'!$F$10),M116,0)+IF(AND('Your debts'!$F$8&lt;&gt;"",'Your debts'!$F$10&lt;&gt;"",'Your debts'!$F$8&lt;'Your debts'!$F$10),R116,0)+IF(AND('Your debts'!$F$9&lt;&gt;"",'Your debts'!$F$10&lt;&gt;"",'Your debts'!$F$9&lt;'Your debts'!$F$10),W116,0)+IF(AND('Your debts'!$F$11&lt;&gt;"",'Your debts'!$F$10&lt;&gt;"",'Your debts'!$F$11&lt;'Your debts'!$F$10),AG116,0)+IF(AND('Your debts'!$F$12&lt;&gt;"",'Your debts'!$F$10&lt;&gt;"",'Your debts'!$F$12&lt;'Your debts'!$F$10),AL116,0)+IF(AND('Your debts'!$F$13&lt;&gt;"",'Your debts'!$F$10&lt;&gt;"",'Your debts'!$F$13&lt;'Your debts'!$F$10),AQ116,0)+IF(AND('Your debts'!$F$14&lt;&gt;"",'Your debts'!$F$10&lt;&gt;"",'Your debts'!$F$14&lt;'Your debts'!$F$10),AV116,0)+IF(AND('Your debts'!$F$15&lt;&gt;"",'Your debts'!$F$10&lt;&gt;"",'Your debts'!$F$15&lt;'Your debts'!$F$10),BA116,0)))))</f>
        <v/>
      </c>
      <c r="AD116" s="33">
        <f>AB116-AC116</f>
        <v/>
      </c>
      <c r="AE116" s="33">
        <f>IF(AI115&lt;=0,0,ROUND(AI115*(1+'Your debts'!$D$11/1200),2))</f>
        <v/>
      </c>
      <c r="AF116" s="33">
        <f>IF(AE116&lt;=0,0,MIN('Your debts'!$E$11,AE116))</f>
        <v/>
      </c>
      <c r="AG116" s="33">
        <f>AE116-AF116</f>
        <v/>
      </c>
      <c r="AH116" s="33">
        <f>IF('Your debts'!$F$11="",0,MIN(AG116,MAX(0,MAX(0,'Your debts'!$C$19-(G116+L116+Q116+V116+AA116+AF116+AK116+AP116+AU116+AZ116))-(IF(AND('Your debts'!$F$6&lt;&gt;"",'Your debts'!$F$11&lt;&gt;"",'Your debts'!$F$6&lt;'Your debts'!$F$11),H116,0)+IF(AND('Your debts'!$F$7&lt;&gt;"",'Your debts'!$F$11&lt;&gt;"",'Your debts'!$F$7&lt;'Your debts'!$F$11),M116,0)+IF(AND('Your debts'!$F$8&lt;&gt;"",'Your debts'!$F$11&lt;&gt;"",'Your debts'!$F$8&lt;'Your debts'!$F$11),R116,0)+IF(AND('Your debts'!$F$9&lt;&gt;"",'Your debts'!$F$11&lt;&gt;"",'Your debts'!$F$9&lt;'Your debts'!$F$11),W116,0)+IF(AND('Your debts'!$F$10&lt;&gt;"",'Your debts'!$F$11&lt;&gt;"",'Your debts'!$F$10&lt;'Your debts'!$F$11),AB116,0)+IF(AND('Your debts'!$F$12&lt;&gt;"",'Your debts'!$F$11&lt;&gt;"",'Your debts'!$F$12&lt;'Your debts'!$F$11),AL116,0)+IF(AND('Your debts'!$F$13&lt;&gt;"",'Your debts'!$F$11&lt;&gt;"",'Your debts'!$F$13&lt;'Your debts'!$F$11),AQ116,0)+IF(AND('Your debts'!$F$14&lt;&gt;"",'Your debts'!$F$11&lt;&gt;"",'Your debts'!$F$14&lt;'Your debts'!$F$11),AV116,0)+IF(AND('Your debts'!$F$15&lt;&gt;"",'Your debts'!$F$11&lt;&gt;"",'Your debts'!$F$15&lt;'Your debts'!$F$11),BA116,0)))))</f>
        <v/>
      </c>
      <c r="AI116" s="33">
        <f>AG116-AH116</f>
        <v/>
      </c>
      <c r="AJ116" s="33">
        <f>IF(AN115&lt;=0,0,ROUND(AN115*(1+'Your debts'!$D$12/1200),2))</f>
        <v/>
      </c>
      <c r="AK116" s="33">
        <f>IF(AJ116&lt;=0,0,MIN('Your debts'!$E$12,AJ116))</f>
        <v/>
      </c>
      <c r="AL116" s="33">
        <f>AJ116-AK116</f>
        <v/>
      </c>
      <c r="AM116" s="33">
        <f>IF('Your debts'!$F$12="",0,MIN(AL116,MAX(0,MAX(0,'Your debts'!$C$19-(G116+L116+Q116+V116+AA116+AF116+AK116+AP116+AU116+AZ116))-(IF(AND('Your debts'!$F$6&lt;&gt;"",'Your debts'!$F$12&lt;&gt;"",'Your debts'!$F$6&lt;'Your debts'!$F$12),H116,0)+IF(AND('Your debts'!$F$7&lt;&gt;"",'Your debts'!$F$12&lt;&gt;"",'Your debts'!$F$7&lt;'Your debts'!$F$12),M116,0)+IF(AND('Your debts'!$F$8&lt;&gt;"",'Your debts'!$F$12&lt;&gt;"",'Your debts'!$F$8&lt;'Your debts'!$F$12),R116,0)+IF(AND('Your debts'!$F$9&lt;&gt;"",'Your debts'!$F$12&lt;&gt;"",'Your debts'!$F$9&lt;'Your debts'!$F$12),W116,0)+IF(AND('Your debts'!$F$10&lt;&gt;"",'Your debts'!$F$12&lt;&gt;"",'Your debts'!$F$10&lt;'Your debts'!$F$12),AB116,0)+IF(AND('Your debts'!$F$11&lt;&gt;"",'Your debts'!$F$12&lt;&gt;"",'Your debts'!$F$11&lt;'Your debts'!$F$12),AG116,0)+IF(AND('Your debts'!$F$13&lt;&gt;"",'Your debts'!$F$12&lt;&gt;"",'Your debts'!$F$13&lt;'Your debts'!$F$12),AQ116,0)+IF(AND('Your debts'!$F$14&lt;&gt;"",'Your debts'!$F$12&lt;&gt;"",'Your debts'!$F$14&lt;'Your debts'!$F$12),AV116,0)+IF(AND('Your debts'!$F$15&lt;&gt;"",'Your debts'!$F$12&lt;&gt;"",'Your debts'!$F$15&lt;'Your debts'!$F$12),BA116,0)))))</f>
        <v/>
      </c>
      <c r="AN116" s="33">
        <f>AL116-AM116</f>
        <v/>
      </c>
      <c r="AO116" s="33">
        <f>IF(AS115&lt;=0,0,ROUND(AS115*(1+'Your debts'!$D$13/1200),2))</f>
        <v/>
      </c>
      <c r="AP116" s="33">
        <f>IF(AO116&lt;=0,0,MIN('Your debts'!$E$13,AO116))</f>
        <v/>
      </c>
      <c r="AQ116" s="33">
        <f>AO116-AP116</f>
        <v/>
      </c>
      <c r="AR116" s="33">
        <f>IF('Your debts'!$F$13="",0,MIN(AQ116,MAX(0,MAX(0,'Your debts'!$C$19-(G116+L116+Q116+V116+AA116+AF116+AK116+AP116+AU116+AZ116))-(IF(AND('Your debts'!$F$6&lt;&gt;"",'Your debts'!$F$13&lt;&gt;"",'Your debts'!$F$6&lt;'Your debts'!$F$13),H116,0)+IF(AND('Your debts'!$F$7&lt;&gt;"",'Your debts'!$F$13&lt;&gt;"",'Your debts'!$F$7&lt;'Your debts'!$F$13),M116,0)+IF(AND('Your debts'!$F$8&lt;&gt;"",'Your debts'!$F$13&lt;&gt;"",'Your debts'!$F$8&lt;'Your debts'!$F$13),R116,0)+IF(AND('Your debts'!$F$9&lt;&gt;"",'Your debts'!$F$13&lt;&gt;"",'Your debts'!$F$9&lt;'Your debts'!$F$13),W116,0)+IF(AND('Your debts'!$F$10&lt;&gt;"",'Your debts'!$F$13&lt;&gt;"",'Your debts'!$F$10&lt;'Your debts'!$F$13),AB116,0)+IF(AND('Your debts'!$F$11&lt;&gt;"",'Your debts'!$F$13&lt;&gt;"",'Your debts'!$F$11&lt;'Your debts'!$F$13),AG116,0)+IF(AND('Your debts'!$F$12&lt;&gt;"",'Your debts'!$F$13&lt;&gt;"",'Your debts'!$F$12&lt;'Your debts'!$F$13),AL116,0)+IF(AND('Your debts'!$F$14&lt;&gt;"",'Your debts'!$F$13&lt;&gt;"",'Your debts'!$F$14&lt;'Your debts'!$F$13),AV116,0)+IF(AND('Your debts'!$F$15&lt;&gt;"",'Your debts'!$F$13&lt;&gt;"",'Your debts'!$F$15&lt;'Your debts'!$F$13),BA116,0)))))</f>
        <v/>
      </c>
      <c r="AS116" s="33">
        <f>AQ116-AR116</f>
        <v/>
      </c>
      <c r="AT116" s="33">
        <f>IF(AX115&lt;=0,0,ROUND(AX115*(1+'Your debts'!$D$14/1200),2))</f>
        <v/>
      </c>
      <c r="AU116" s="33">
        <f>IF(AT116&lt;=0,0,MIN('Your debts'!$E$14,AT116))</f>
        <v/>
      </c>
      <c r="AV116" s="33">
        <f>AT116-AU116</f>
        <v/>
      </c>
      <c r="AW116" s="33">
        <f>IF('Your debts'!$F$14="",0,MIN(AV116,MAX(0,MAX(0,'Your debts'!$C$19-(G116+L116+Q116+V116+AA116+AF116+AK116+AP116+AU116+AZ116))-(IF(AND('Your debts'!$F$6&lt;&gt;"",'Your debts'!$F$14&lt;&gt;"",'Your debts'!$F$6&lt;'Your debts'!$F$14),H116,0)+IF(AND('Your debts'!$F$7&lt;&gt;"",'Your debts'!$F$14&lt;&gt;"",'Your debts'!$F$7&lt;'Your debts'!$F$14),M116,0)+IF(AND('Your debts'!$F$8&lt;&gt;"",'Your debts'!$F$14&lt;&gt;"",'Your debts'!$F$8&lt;'Your debts'!$F$14),R116,0)+IF(AND('Your debts'!$F$9&lt;&gt;"",'Your debts'!$F$14&lt;&gt;"",'Your debts'!$F$9&lt;'Your debts'!$F$14),W116,0)+IF(AND('Your debts'!$F$10&lt;&gt;"",'Your debts'!$F$14&lt;&gt;"",'Your debts'!$F$10&lt;'Your debts'!$F$14),AB116,0)+IF(AND('Your debts'!$F$11&lt;&gt;"",'Your debts'!$F$14&lt;&gt;"",'Your debts'!$F$11&lt;'Your debts'!$F$14),AG116,0)+IF(AND('Your debts'!$F$12&lt;&gt;"",'Your debts'!$F$14&lt;&gt;"",'Your debts'!$F$12&lt;'Your debts'!$F$14),AL116,0)+IF(AND('Your debts'!$F$13&lt;&gt;"",'Your debts'!$F$14&lt;&gt;"",'Your debts'!$F$13&lt;'Your debts'!$F$14),AQ116,0)+IF(AND('Your debts'!$F$15&lt;&gt;"",'Your debts'!$F$14&lt;&gt;"",'Your debts'!$F$15&lt;'Your debts'!$F$14),BA116,0)))))</f>
        <v/>
      </c>
      <c r="AX116" s="33">
        <f>AV116-AW116</f>
        <v/>
      </c>
      <c r="AY116" s="33">
        <f>IF(BC115&lt;=0,0,ROUND(BC115*(1+'Your debts'!$D$15/1200),2))</f>
        <v/>
      </c>
      <c r="AZ116" s="33">
        <f>IF(AY116&lt;=0,0,MIN('Your debts'!$E$15,AY116))</f>
        <v/>
      </c>
      <c r="BA116" s="33">
        <f>AY116-AZ116</f>
        <v/>
      </c>
      <c r="BB116" s="33">
        <f>IF('Your debts'!$F$15="",0,MIN(BA116,MAX(0,MAX(0,'Your debts'!$C$19-(G116+L116+Q116+V116+AA116+AF116+AK116+AP116+AU116+AZ116))-(IF(AND('Your debts'!$F$6&lt;&gt;"",'Your debts'!$F$15&lt;&gt;"",'Your debts'!$F$6&lt;'Your debts'!$F$15),H116,0)+IF(AND('Your debts'!$F$7&lt;&gt;"",'Your debts'!$F$15&lt;&gt;"",'Your debts'!$F$7&lt;'Your debts'!$F$15),M116,0)+IF(AND('Your debts'!$F$8&lt;&gt;"",'Your debts'!$F$15&lt;&gt;"",'Your debts'!$F$8&lt;'Your debts'!$F$15),R116,0)+IF(AND('Your debts'!$F$9&lt;&gt;"",'Your debts'!$F$15&lt;&gt;"",'Your debts'!$F$9&lt;'Your debts'!$F$15),W116,0)+IF(AND('Your debts'!$F$10&lt;&gt;"",'Your debts'!$F$15&lt;&gt;"",'Your debts'!$F$10&lt;'Your debts'!$F$15),AB116,0)+IF(AND('Your debts'!$F$11&lt;&gt;"",'Your debts'!$F$15&lt;&gt;"",'Your debts'!$F$11&lt;'Your debts'!$F$15),AG116,0)+IF(AND('Your debts'!$F$12&lt;&gt;"",'Your debts'!$F$15&lt;&gt;"",'Your debts'!$F$12&lt;'Your debts'!$F$15),AL116,0)+IF(AND('Your debts'!$F$13&lt;&gt;"",'Your debts'!$F$15&lt;&gt;"",'Your debts'!$F$13&lt;'Your debts'!$F$15),AQ116,0)+IF(AND('Your debts'!$F$14&lt;&gt;"",'Your debts'!$F$15&lt;&gt;"",'Your debts'!$F$14&lt;'Your debts'!$F$15),AV116,0)))))</f>
        <v/>
      </c>
      <c r="BC116" s="33">
        <f>BA116-BB116</f>
        <v/>
      </c>
    </row>
    <row r="117">
      <c r="A117" s="30" t="n">
        <v>102</v>
      </c>
      <c r="B117" s="31">
        <f>EDATE($B$15,102)</f>
        <v/>
      </c>
      <c r="C117" s="32">
        <f>IF(J116&lt;=0,0,F117-J116)+IF(O116&lt;=0,0,K117-O116)+IF(T116&lt;=0,0,P117-T116)+IF(Y116&lt;=0,0,U117-Y116)+IF(AD116&lt;=0,0,Z117-AD116)+IF(AI116&lt;=0,0,AE117-AI116)+IF(AN116&lt;=0,0,AJ117-AN116)+IF(AS116&lt;=0,0,AO117-AS116)+IF(AX116&lt;=0,0,AT117-AX116)+IF(BC116&lt;=0,0,AY117-BC116)</f>
        <v/>
      </c>
      <c r="D117" s="32">
        <f>G117+I117+L117+N117+Q117+S117+V117+X117+AA117+AC117+AF117+AH117+AK117+AM117+AP117+AR117+AU117+AW117+AZ117+BB117</f>
        <v/>
      </c>
      <c r="E117" s="32">
        <f>J117+O117+T117+Y117+AD117+AI117+AN117+AS117+AX117+BC117</f>
        <v/>
      </c>
      <c r="F117" s="33">
        <f>IF(J116&lt;=0,0,ROUND(J116*(1+'Your debts'!$D$6/1200),2))</f>
        <v/>
      </c>
      <c r="G117" s="33">
        <f>IF(F117&lt;=0,0,MIN('Your debts'!$E$6,F117))</f>
        <v/>
      </c>
      <c r="H117" s="33">
        <f>F117-G117</f>
        <v/>
      </c>
      <c r="I117" s="33">
        <f>IF('Your debts'!$F$6="",0,MIN(H117,MAX(0,MAX(0,'Your debts'!$C$19-(G117+L117+Q117+V117+AA117+AF117+AK117+AP117+AU117+AZ117))-(IF(AND('Your debts'!$F$7&lt;&gt;"",'Your debts'!$F$6&lt;&gt;"",'Your debts'!$F$7&lt;'Your debts'!$F$6),M117,0)+IF(AND('Your debts'!$F$8&lt;&gt;"",'Your debts'!$F$6&lt;&gt;"",'Your debts'!$F$8&lt;'Your debts'!$F$6),R117,0)+IF(AND('Your debts'!$F$9&lt;&gt;"",'Your debts'!$F$6&lt;&gt;"",'Your debts'!$F$9&lt;'Your debts'!$F$6),W117,0)+IF(AND('Your debts'!$F$10&lt;&gt;"",'Your debts'!$F$6&lt;&gt;"",'Your debts'!$F$10&lt;'Your debts'!$F$6),AB117,0)+IF(AND('Your debts'!$F$11&lt;&gt;"",'Your debts'!$F$6&lt;&gt;"",'Your debts'!$F$11&lt;'Your debts'!$F$6),AG117,0)+IF(AND('Your debts'!$F$12&lt;&gt;"",'Your debts'!$F$6&lt;&gt;"",'Your debts'!$F$12&lt;'Your debts'!$F$6),AL117,0)+IF(AND('Your debts'!$F$13&lt;&gt;"",'Your debts'!$F$6&lt;&gt;"",'Your debts'!$F$13&lt;'Your debts'!$F$6),AQ117,0)+IF(AND('Your debts'!$F$14&lt;&gt;"",'Your debts'!$F$6&lt;&gt;"",'Your debts'!$F$14&lt;'Your debts'!$F$6),AV117,0)+IF(AND('Your debts'!$F$15&lt;&gt;"",'Your debts'!$F$6&lt;&gt;"",'Your debts'!$F$15&lt;'Your debts'!$F$6),BA117,0)))))</f>
        <v/>
      </c>
      <c r="J117" s="33">
        <f>H117-I117</f>
        <v/>
      </c>
      <c r="K117" s="33">
        <f>IF(O116&lt;=0,0,ROUND(O116*(1+'Your debts'!$D$7/1200),2))</f>
        <v/>
      </c>
      <c r="L117" s="33">
        <f>IF(K117&lt;=0,0,MIN('Your debts'!$E$7,K117))</f>
        <v/>
      </c>
      <c r="M117" s="33">
        <f>K117-L117</f>
        <v/>
      </c>
      <c r="N117" s="33">
        <f>IF('Your debts'!$F$7="",0,MIN(M117,MAX(0,MAX(0,'Your debts'!$C$19-(G117+L117+Q117+V117+AA117+AF117+AK117+AP117+AU117+AZ117))-(IF(AND('Your debts'!$F$6&lt;&gt;"",'Your debts'!$F$7&lt;&gt;"",'Your debts'!$F$6&lt;'Your debts'!$F$7),H117,0)+IF(AND('Your debts'!$F$8&lt;&gt;"",'Your debts'!$F$7&lt;&gt;"",'Your debts'!$F$8&lt;'Your debts'!$F$7),R117,0)+IF(AND('Your debts'!$F$9&lt;&gt;"",'Your debts'!$F$7&lt;&gt;"",'Your debts'!$F$9&lt;'Your debts'!$F$7),W117,0)+IF(AND('Your debts'!$F$10&lt;&gt;"",'Your debts'!$F$7&lt;&gt;"",'Your debts'!$F$10&lt;'Your debts'!$F$7),AB117,0)+IF(AND('Your debts'!$F$11&lt;&gt;"",'Your debts'!$F$7&lt;&gt;"",'Your debts'!$F$11&lt;'Your debts'!$F$7),AG117,0)+IF(AND('Your debts'!$F$12&lt;&gt;"",'Your debts'!$F$7&lt;&gt;"",'Your debts'!$F$12&lt;'Your debts'!$F$7),AL117,0)+IF(AND('Your debts'!$F$13&lt;&gt;"",'Your debts'!$F$7&lt;&gt;"",'Your debts'!$F$13&lt;'Your debts'!$F$7),AQ117,0)+IF(AND('Your debts'!$F$14&lt;&gt;"",'Your debts'!$F$7&lt;&gt;"",'Your debts'!$F$14&lt;'Your debts'!$F$7),AV117,0)+IF(AND('Your debts'!$F$15&lt;&gt;"",'Your debts'!$F$7&lt;&gt;"",'Your debts'!$F$15&lt;'Your debts'!$F$7),BA117,0)))))</f>
        <v/>
      </c>
      <c r="O117" s="33">
        <f>M117-N117</f>
        <v/>
      </c>
      <c r="P117" s="33">
        <f>IF(T116&lt;=0,0,ROUND(T116*(1+'Your debts'!$D$8/1200),2))</f>
        <v/>
      </c>
      <c r="Q117" s="33">
        <f>IF(P117&lt;=0,0,MIN('Your debts'!$E$8,P117))</f>
        <v/>
      </c>
      <c r="R117" s="33">
        <f>P117-Q117</f>
        <v/>
      </c>
      <c r="S117" s="33">
        <f>IF('Your debts'!$F$8="",0,MIN(R117,MAX(0,MAX(0,'Your debts'!$C$19-(G117+L117+Q117+V117+AA117+AF117+AK117+AP117+AU117+AZ117))-(IF(AND('Your debts'!$F$6&lt;&gt;"",'Your debts'!$F$8&lt;&gt;"",'Your debts'!$F$6&lt;'Your debts'!$F$8),H117,0)+IF(AND('Your debts'!$F$7&lt;&gt;"",'Your debts'!$F$8&lt;&gt;"",'Your debts'!$F$7&lt;'Your debts'!$F$8),M117,0)+IF(AND('Your debts'!$F$9&lt;&gt;"",'Your debts'!$F$8&lt;&gt;"",'Your debts'!$F$9&lt;'Your debts'!$F$8),W117,0)+IF(AND('Your debts'!$F$10&lt;&gt;"",'Your debts'!$F$8&lt;&gt;"",'Your debts'!$F$10&lt;'Your debts'!$F$8),AB117,0)+IF(AND('Your debts'!$F$11&lt;&gt;"",'Your debts'!$F$8&lt;&gt;"",'Your debts'!$F$11&lt;'Your debts'!$F$8),AG117,0)+IF(AND('Your debts'!$F$12&lt;&gt;"",'Your debts'!$F$8&lt;&gt;"",'Your debts'!$F$12&lt;'Your debts'!$F$8),AL117,0)+IF(AND('Your debts'!$F$13&lt;&gt;"",'Your debts'!$F$8&lt;&gt;"",'Your debts'!$F$13&lt;'Your debts'!$F$8),AQ117,0)+IF(AND('Your debts'!$F$14&lt;&gt;"",'Your debts'!$F$8&lt;&gt;"",'Your debts'!$F$14&lt;'Your debts'!$F$8),AV117,0)+IF(AND('Your debts'!$F$15&lt;&gt;"",'Your debts'!$F$8&lt;&gt;"",'Your debts'!$F$15&lt;'Your debts'!$F$8),BA117,0)))))</f>
        <v/>
      </c>
      <c r="T117" s="33">
        <f>R117-S117</f>
        <v/>
      </c>
      <c r="U117" s="33">
        <f>IF(Y116&lt;=0,0,ROUND(Y116*(1+'Your debts'!$D$9/1200),2))</f>
        <v/>
      </c>
      <c r="V117" s="33">
        <f>IF(U117&lt;=0,0,MIN('Your debts'!$E$9,U117))</f>
        <v/>
      </c>
      <c r="W117" s="33">
        <f>U117-V117</f>
        <v/>
      </c>
      <c r="X117" s="33">
        <f>IF('Your debts'!$F$9="",0,MIN(W117,MAX(0,MAX(0,'Your debts'!$C$19-(G117+L117+Q117+V117+AA117+AF117+AK117+AP117+AU117+AZ117))-(IF(AND('Your debts'!$F$6&lt;&gt;"",'Your debts'!$F$9&lt;&gt;"",'Your debts'!$F$6&lt;'Your debts'!$F$9),H117,0)+IF(AND('Your debts'!$F$7&lt;&gt;"",'Your debts'!$F$9&lt;&gt;"",'Your debts'!$F$7&lt;'Your debts'!$F$9),M117,0)+IF(AND('Your debts'!$F$8&lt;&gt;"",'Your debts'!$F$9&lt;&gt;"",'Your debts'!$F$8&lt;'Your debts'!$F$9),R117,0)+IF(AND('Your debts'!$F$10&lt;&gt;"",'Your debts'!$F$9&lt;&gt;"",'Your debts'!$F$10&lt;'Your debts'!$F$9),AB117,0)+IF(AND('Your debts'!$F$11&lt;&gt;"",'Your debts'!$F$9&lt;&gt;"",'Your debts'!$F$11&lt;'Your debts'!$F$9),AG117,0)+IF(AND('Your debts'!$F$12&lt;&gt;"",'Your debts'!$F$9&lt;&gt;"",'Your debts'!$F$12&lt;'Your debts'!$F$9),AL117,0)+IF(AND('Your debts'!$F$13&lt;&gt;"",'Your debts'!$F$9&lt;&gt;"",'Your debts'!$F$13&lt;'Your debts'!$F$9),AQ117,0)+IF(AND('Your debts'!$F$14&lt;&gt;"",'Your debts'!$F$9&lt;&gt;"",'Your debts'!$F$14&lt;'Your debts'!$F$9),AV117,0)+IF(AND('Your debts'!$F$15&lt;&gt;"",'Your debts'!$F$9&lt;&gt;"",'Your debts'!$F$15&lt;'Your debts'!$F$9),BA117,0)))))</f>
        <v/>
      </c>
      <c r="Y117" s="33">
        <f>W117-X117</f>
        <v/>
      </c>
      <c r="Z117" s="33">
        <f>IF(AD116&lt;=0,0,ROUND(AD116*(1+'Your debts'!$D$10/1200),2))</f>
        <v/>
      </c>
      <c r="AA117" s="33">
        <f>IF(Z117&lt;=0,0,MIN('Your debts'!$E$10,Z117))</f>
        <v/>
      </c>
      <c r="AB117" s="33">
        <f>Z117-AA117</f>
        <v/>
      </c>
      <c r="AC117" s="33">
        <f>IF('Your debts'!$F$10="",0,MIN(AB117,MAX(0,MAX(0,'Your debts'!$C$19-(G117+L117+Q117+V117+AA117+AF117+AK117+AP117+AU117+AZ117))-(IF(AND('Your debts'!$F$6&lt;&gt;"",'Your debts'!$F$10&lt;&gt;"",'Your debts'!$F$6&lt;'Your debts'!$F$10),H117,0)+IF(AND('Your debts'!$F$7&lt;&gt;"",'Your debts'!$F$10&lt;&gt;"",'Your debts'!$F$7&lt;'Your debts'!$F$10),M117,0)+IF(AND('Your debts'!$F$8&lt;&gt;"",'Your debts'!$F$10&lt;&gt;"",'Your debts'!$F$8&lt;'Your debts'!$F$10),R117,0)+IF(AND('Your debts'!$F$9&lt;&gt;"",'Your debts'!$F$10&lt;&gt;"",'Your debts'!$F$9&lt;'Your debts'!$F$10),W117,0)+IF(AND('Your debts'!$F$11&lt;&gt;"",'Your debts'!$F$10&lt;&gt;"",'Your debts'!$F$11&lt;'Your debts'!$F$10),AG117,0)+IF(AND('Your debts'!$F$12&lt;&gt;"",'Your debts'!$F$10&lt;&gt;"",'Your debts'!$F$12&lt;'Your debts'!$F$10),AL117,0)+IF(AND('Your debts'!$F$13&lt;&gt;"",'Your debts'!$F$10&lt;&gt;"",'Your debts'!$F$13&lt;'Your debts'!$F$10),AQ117,0)+IF(AND('Your debts'!$F$14&lt;&gt;"",'Your debts'!$F$10&lt;&gt;"",'Your debts'!$F$14&lt;'Your debts'!$F$10),AV117,0)+IF(AND('Your debts'!$F$15&lt;&gt;"",'Your debts'!$F$10&lt;&gt;"",'Your debts'!$F$15&lt;'Your debts'!$F$10),BA117,0)))))</f>
        <v/>
      </c>
      <c r="AD117" s="33">
        <f>AB117-AC117</f>
        <v/>
      </c>
      <c r="AE117" s="33">
        <f>IF(AI116&lt;=0,0,ROUND(AI116*(1+'Your debts'!$D$11/1200),2))</f>
        <v/>
      </c>
      <c r="AF117" s="33">
        <f>IF(AE117&lt;=0,0,MIN('Your debts'!$E$11,AE117))</f>
        <v/>
      </c>
      <c r="AG117" s="33">
        <f>AE117-AF117</f>
        <v/>
      </c>
      <c r="AH117" s="33">
        <f>IF('Your debts'!$F$11="",0,MIN(AG117,MAX(0,MAX(0,'Your debts'!$C$19-(G117+L117+Q117+V117+AA117+AF117+AK117+AP117+AU117+AZ117))-(IF(AND('Your debts'!$F$6&lt;&gt;"",'Your debts'!$F$11&lt;&gt;"",'Your debts'!$F$6&lt;'Your debts'!$F$11),H117,0)+IF(AND('Your debts'!$F$7&lt;&gt;"",'Your debts'!$F$11&lt;&gt;"",'Your debts'!$F$7&lt;'Your debts'!$F$11),M117,0)+IF(AND('Your debts'!$F$8&lt;&gt;"",'Your debts'!$F$11&lt;&gt;"",'Your debts'!$F$8&lt;'Your debts'!$F$11),R117,0)+IF(AND('Your debts'!$F$9&lt;&gt;"",'Your debts'!$F$11&lt;&gt;"",'Your debts'!$F$9&lt;'Your debts'!$F$11),W117,0)+IF(AND('Your debts'!$F$10&lt;&gt;"",'Your debts'!$F$11&lt;&gt;"",'Your debts'!$F$10&lt;'Your debts'!$F$11),AB117,0)+IF(AND('Your debts'!$F$12&lt;&gt;"",'Your debts'!$F$11&lt;&gt;"",'Your debts'!$F$12&lt;'Your debts'!$F$11),AL117,0)+IF(AND('Your debts'!$F$13&lt;&gt;"",'Your debts'!$F$11&lt;&gt;"",'Your debts'!$F$13&lt;'Your debts'!$F$11),AQ117,0)+IF(AND('Your debts'!$F$14&lt;&gt;"",'Your debts'!$F$11&lt;&gt;"",'Your debts'!$F$14&lt;'Your debts'!$F$11),AV117,0)+IF(AND('Your debts'!$F$15&lt;&gt;"",'Your debts'!$F$11&lt;&gt;"",'Your debts'!$F$15&lt;'Your debts'!$F$11),BA117,0)))))</f>
        <v/>
      </c>
      <c r="AI117" s="33">
        <f>AG117-AH117</f>
        <v/>
      </c>
      <c r="AJ117" s="33">
        <f>IF(AN116&lt;=0,0,ROUND(AN116*(1+'Your debts'!$D$12/1200),2))</f>
        <v/>
      </c>
      <c r="AK117" s="33">
        <f>IF(AJ117&lt;=0,0,MIN('Your debts'!$E$12,AJ117))</f>
        <v/>
      </c>
      <c r="AL117" s="33">
        <f>AJ117-AK117</f>
        <v/>
      </c>
      <c r="AM117" s="33">
        <f>IF('Your debts'!$F$12="",0,MIN(AL117,MAX(0,MAX(0,'Your debts'!$C$19-(G117+L117+Q117+V117+AA117+AF117+AK117+AP117+AU117+AZ117))-(IF(AND('Your debts'!$F$6&lt;&gt;"",'Your debts'!$F$12&lt;&gt;"",'Your debts'!$F$6&lt;'Your debts'!$F$12),H117,0)+IF(AND('Your debts'!$F$7&lt;&gt;"",'Your debts'!$F$12&lt;&gt;"",'Your debts'!$F$7&lt;'Your debts'!$F$12),M117,0)+IF(AND('Your debts'!$F$8&lt;&gt;"",'Your debts'!$F$12&lt;&gt;"",'Your debts'!$F$8&lt;'Your debts'!$F$12),R117,0)+IF(AND('Your debts'!$F$9&lt;&gt;"",'Your debts'!$F$12&lt;&gt;"",'Your debts'!$F$9&lt;'Your debts'!$F$12),W117,0)+IF(AND('Your debts'!$F$10&lt;&gt;"",'Your debts'!$F$12&lt;&gt;"",'Your debts'!$F$10&lt;'Your debts'!$F$12),AB117,0)+IF(AND('Your debts'!$F$11&lt;&gt;"",'Your debts'!$F$12&lt;&gt;"",'Your debts'!$F$11&lt;'Your debts'!$F$12),AG117,0)+IF(AND('Your debts'!$F$13&lt;&gt;"",'Your debts'!$F$12&lt;&gt;"",'Your debts'!$F$13&lt;'Your debts'!$F$12),AQ117,0)+IF(AND('Your debts'!$F$14&lt;&gt;"",'Your debts'!$F$12&lt;&gt;"",'Your debts'!$F$14&lt;'Your debts'!$F$12),AV117,0)+IF(AND('Your debts'!$F$15&lt;&gt;"",'Your debts'!$F$12&lt;&gt;"",'Your debts'!$F$15&lt;'Your debts'!$F$12),BA117,0)))))</f>
        <v/>
      </c>
      <c r="AN117" s="33">
        <f>AL117-AM117</f>
        <v/>
      </c>
      <c r="AO117" s="33">
        <f>IF(AS116&lt;=0,0,ROUND(AS116*(1+'Your debts'!$D$13/1200),2))</f>
        <v/>
      </c>
      <c r="AP117" s="33">
        <f>IF(AO117&lt;=0,0,MIN('Your debts'!$E$13,AO117))</f>
        <v/>
      </c>
      <c r="AQ117" s="33">
        <f>AO117-AP117</f>
        <v/>
      </c>
      <c r="AR117" s="33">
        <f>IF('Your debts'!$F$13="",0,MIN(AQ117,MAX(0,MAX(0,'Your debts'!$C$19-(G117+L117+Q117+V117+AA117+AF117+AK117+AP117+AU117+AZ117))-(IF(AND('Your debts'!$F$6&lt;&gt;"",'Your debts'!$F$13&lt;&gt;"",'Your debts'!$F$6&lt;'Your debts'!$F$13),H117,0)+IF(AND('Your debts'!$F$7&lt;&gt;"",'Your debts'!$F$13&lt;&gt;"",'Your debts'!$F$7&lt;'Your debts'!$F$13),M117,0)+IF(AND('Your debts'!$F$8&lt;&gt;"",'Your debts'!$F$13&lt;&gt;"",'Your debts'!$F$8&lt;'Your debts'!$F$13),R117,0)+IF(AND('Your debts'!$F$9&lt;&gt;"",'Your debts'!$F$13&lt;&gt;"",'Your debts'!$F$9&lt;'Your debts'!$F$13),W117,0)+IF(AND('Your debts'!$F$10&lt;&gt;"",'Your debts'!$F$13&lt;&gt;"",'Your debts'!$F$10&lt;'Your debts'!$F$13),AB117,0)+IF(AND('Your debts'!$F$11&lt;&gt;"",'Your debts'!$F$13&lt;&gt;"",'Your debts'!$F$11&lt;'Your debts'!$F$13),AG117,0)+IF(AND('Your debts'!$F$12&lt;&gt;"",'Your debts'!$F$13&lt;&gt;"",'Your debts'!$F$12&lt;'Your debts'!$F$13),AL117,0)+IF(AND('Your debts'!$F$14&lt;&gt;"",'Your debts'!$F$13&lt;&gt;"",'Your debts'!$F$14&lt;'Your debts'!$F$13),AV117,0)+IF(AND('Your debts'!$F$15&lt;&gt;"",'Your debts'!$F$13&lt;&gt;"",'Your debts'!$F$15&lt;'Your debts'!$F$13),BA117,0)))))</f>
        <v/>
      </c>
      <c r="AS117" s="33">
        <f>AQ117-AR117</f>
        <v/>
      </c>
      <c r="AT117" s="33">
        <f>IF(AX116&lt;=0,0,ROUND(AX116*(1+'Your debts'!$D$14/1200),2))</f>
        <v/>
      </c>
      <c r="AU117" s="33">
        <f>IF(AT117&lt;=0,0,MIN('Your debts'!$E$14,AT117))</f>
        <v/>
      </c>
      <c r="AV117" s="33">
        <f>AT117-AU117</f>
        <v/>
      </c>
      <c r="AW117" s="33">
        <f>IF('Your debts'!$F$14="",0,MIN(AV117,MAX(0,MAX(0,'Your debts'!$C$19-(G117+L117+Q117+V117+AA117+AF117+AK117+AP117+AU117+AZ117))-(IF(AND('Your debts'!$F$6&lt;&gt;"",'Your debts'!$F$14&lt;&gt;"",'Your debts'!$F$6&lt;'Your debts'!$F$14),H117,0)+IF(AND('Your debts'!$F$7&lt;&gt;"",'Your debts'!$F$14&lt;&gt;"",'Your debts'!$F$7&lt;'Your debts'!$F$14),M117,0)+IF(AND('Your debts'!$F$8&lt;&gt;"",'Your debts'!$F$14&lt;&gt;"",'Your debts'!$F$8&lt;'Your debts'!$F$14),R117,0)+IF(AND('Your debts'!$F$9&lt;&gt;"",'Your debts'!$F$14&lt;&gt;"",'Your debts'!$F$9&lt;'Your debts'!$F$14),W117,0)+IF(AND('Your debts'!$F$10&lt;&gt;"",'Your debts'!$F$14&lt;&gt;"",'Your debts'!$F$10&lt;'Your debts'!$F$14),AB117,0)+IF(AND('Your debts'!$F$11&lt;&gt;"",'Your debts'!$F$14&lt;&gt;"",'Your debts'!$F$11&lt;'Your debts'!$F$14),AG117,0)+IF(AND('Your debts'!$F$12&lt;&gt;"",'Your debts'!$F$14&lt;&gt;"",'Your debts'!$F$12&lt;'Your debts'!$F$14),AL117,0)+IF(AND('Your debts'!$F$13&lt;&gt;"",'Your debts'!$F$14&lt;&gt;"",'Your debts'!$F$13&lt;'Your debts'!$F$14),AQ117,0)+IF(AND('Your debts'!$F$15&lt;&gt;"",'Your debts'!$F$14&lt;&gt;"",'Your debts'!$F$15&lt;'Your debts'!$F$14),BA117,0)))))</f>
        <v/>
      </c>
      <c r="AX117" s="33">
        <f>AV117-AW117</f>
        <v/>
      </c>
      <c r="AY117" s="33">
        <f>IF(BC116&lt;=0,0,ROUND(BC116*(1+'Your debts'!$D$15/1200),2))</f>
        <v/>
      </c>
      <c r="AZ117" s="33">
        <f>IF(AY117&lt;=0,0,MIN('Your debts'!$E$15,AY117))</f>
        <v/>
      </c>
      <c r="BA117" s="33">
        <f>AY117-AZ117</f>
        <v/>
      </c>
      <c r="BB117" s="33">
        <f>IF('Your debts'!$F$15="",0,MIN(BA117,MAX(0,MAX(0,'Your debts'!$C$19-(G117+L117+Q117+V117+AA117+AF117+AK117+AP117+AU117+AZ117))-(IF(AND('Your debts'!$F$6&lt;&gt;"",'Your debts'!$F$15&lt;&gt;"",'Your debts'!$F$6&lt;'Your debts'!$F$15),H117,0)+IF(AND('Your debts'!$F$7&lt;&gt;"",'Your debts'!$F$15&lt;&gt;"",'Your debts'!$F$7&lt;'Your debts'!$F$15),M117,0)+IF(AND('Your debts'!$F$8&lt;&gt;"",'Your debts'!$F$15&lt;&gt;"",'Your debts'!$F$8&lt;'Your debts'!$F$15),R117,0)+IF(AND('Your debts'!$F$9&lt;&gt;"",'Your debts'!$F$15&lt;&gt;"",'Your debts'!$F$9&lt;'Your debts'!$F$15),W117,0)+IF(AND('Your debts'!$F$10&lt;&gt;"",'Your debts'!$F$15&lt;&gt;"",'Your debts'!$F$10&lt;'Your debts'!$F$15),AB117,0)+IF(AND('Your debts'!$F$11&lt;&gt;"",'Your debts'!$F$15&lt;&gt;"",'Your debts'!$F$11&lt;'Your debts'!$F$15),AG117,0)+IF(AND('Your debts'!$F$12&lt;&gt;"",'Your debts'!$F$15&lt;&gt;"",'Your debts'!$F$12&lt;'Your debts'!$F$15),AL117,0)+IF(AND('Your debts'!$F$13&lt;&gt;"",'Your debts'!$F$15&lt;&gt;"",'Your debts'!$F$13&lt;'Your debts'!$F$15),AQ117,0)+IF(AND('Your debts'!$F$14&lt;&gt;"",'Your debts'!$F$15&lt;&gt;"",'Your debts'!$F$14&lt;'Your debts'!$F$15),AV117,0)))))</f>
        <v/>
      </c>
      <c r="BC117" s="33">
        <f>BA117-BB117</f>
        <v/>
      </c>
    </row>
    <row r="118">
      <c r="A118" s="30" t="n">
        <v>103</v>
      </c>
      <c r="B118" s="31">
        <f>EDATE($B$15,103)</f>
        <v/>
      </c>
      <c r="C118" s="32">
        <f>IF(J117&lt;=0,0,F118-J117)+IF(O117&lt;=0,0,K118-O117)+IF(T117&lt;=0,0,P118-T117)+IF(Y117&lt;=0,0,U118-Y117)+IF(AD117&lt;=0,0,Z118-AD117)+IF(AI117&lt;=0,0,AE118-AI117)+IF(AN117&lt;=0,0,AJ118-AN117)+IF(AS117&lt;=0,0,AO118-AS117)+IF(AX117&lt;=0,0,AT118-AX117)+IF(BC117&lt;=0,0,AY118-BC117)</f>
        <v/>
      </c>
      <c r="D118" s="32">
        <f>G118+I118+L118+N118+Q118+S118+V118+X118+AA118+AC118+AF118+AH118+AK118+AM118+AP118+AR118+AU118+AW118+AZ118+BB118</f>
        <v/>
      </c>
      <c r="E118" s="32">
        <f>J118+O118+T118+Y118+AD118+AI118+AN118+AS118+AX118+BC118</f>
        <v/>
      </c>
      <c r="F118" s="33">
        <f>IF(J117&lt;=0,0,ROUND(J117*(1+'Your debts'!$D$6/1200),2))</f>
        <v/>
      </c>
      <c r="G118" s="33">
        <f>IF(F118&lt;=0,0,MIN('Your debts'!$E$6,F118))</f>
        <v/>
      </c>
      <c r="H118" s="33">
        <f>F118-G118</f>
        <v/>
      </c>
      <c r="I118" s="33">
        <f>IF('Your debts'!$F$6="",0,MIN(H118,MAX(0,MAX(0,'Your debts'!$C$19-(G118+L118+Q118+V118+AA118+AF118+AK118+AP118+AU118+AZ118))-(IF(AND('Your debts'!$F$7&lt;&gt;"",'Your debts'!$F$6&lt;&gt;"",'Your debts'!$F$7&lt;'Your debts'!$F$6),M118,0)+IF(AND('Your debts'!$F$8&lt;&gt;"",'Your debts'!$F$6&lt;&gt;"",'Your debts'!$F$8&lt;'Your debts'!$F$6),R118,0)+IF(AND('Your debts'!$F$9&lt;&gt;"",'Your debts'!$F$6&lt;&gt;"",'Your debts'!$F$9&lt;'Your debts'!$F$6),W118,0)+IF(AND('Your debts'!$F$10&lt;&gt;"",'Your debts'!$F$6&lt;&gt;"",'Your debts'!$F$10&lt;'Your debts'!$F$6),AB118,0)+IF(AND('Your debts'!$F$11&lt;&gt;"",'Your debts'!$F$6&lt;&gt;"",'Your debts'!$F$11&lt;'Your debts'!$F$6),AG118,0)+IF(AND('Your debts'!$F$12&lt;&gt;"",'Your debts'!$F$6&lt;&gt;"",'Your debts'!$F$12&lt;'Your debts'!$F$6),AL118,0)+IF(AND('Your debts'!$F$13&lt;&gt;"",'Your debts'!$F$6&lt;&gt;"",'Your debts'!$F$13&lt;'Your debts'!$F$6),AQ118,0)+IF(AND('Your debts'!$F$14&lt;&gt;"",'Your debts'!$F$6&lt;&gt;"",'Your debts'!$F$14&lt;'Your debts'!$F$6),AV118,0)+IF(AND('Your debts'!$F$15&lt;&gt;"",'Your debts'!$F$6&lt;&gt;"",'Your debts'!$F$15&lt;'Your debts'!$F$6),BA118,0)))))</f>
        <v/>
      </c>
      <c r="J118" s="33">
        <f>H118-I118</f>
        <v/>
      </c>
      <c r="K118" s="33">
        <f>IF(O117&lt;=0,0,ROUND(O117*(1+'Your debts'!$D$7/1200),2))</f>
        <v/>
      </c>
      <c r="L118" s="33">
        <f>IF(K118&lt;=0,0,MIN('Your debts'!$E$7,K118))</f>
        <v/>
      </c>
      <c r="M118" s="33">
        <f>K118-L118</f>
        <v/>
      </c>
      <c r="N118" s="33">
        <f>IF('Your debts'!$F$7="",0,MIN(M118,MAX(0,MAX(0,'Your debts'!$C$19-(G118+L118+Q118+V118+AA118+AF118+AK118+AP118+AU118+AZ118))-(IF(AND('Your debts'!$F$6&lt;&gt;"",'Your debts'!$F$7&lt;&gt;"",'Your debts'!$F$6&lt;'Your debts'!$F$7),H118,0)+IF(AND('Your debts'!$F$8&lt;&gt;"",'Your debts'!$F$7&lt;&gt;"",'Your debts'!$F$8&lt;'Your debts'!$F$7),R118,0)+IF(AND('Your debts'!$F$9&lt;&gt;"",'Your debts'!$F$7&lt;&gt;"",'Your debts'!$F$9&lt;'Your debts'!$F$7),W118,0)+IF(AND('Your debts'!$F$10&lt;&gt;"",'Your debts'!$F$7&lt;&gt;"",'Your debts'!$F$10&lt;'Your debts'!$F$7),AB118,0)+IF(AND('Your debts'!$F$11&lt;&gt;"",'Your debts'!$F$7&lt;&gt;"",'Your debts'!$F$11&lt;'Your debts'!$F$7),AG118,0)+IF(AND('Your debts'!$F$12&lt;&gt;"",'Your debts'!$F$7&lt;&gt;"",'Your debts'!$F$12&lt;'Your debts'!$F$7),AL118,0)+IF(AND('Your debts'!$F$13&lt;&gt;"",'Your debts'!$F$7&lt;&gt;"",'Your debts'!$F$13&lt;'Your debts'!$F$7),AQ118,0)+IF(AND('Your debts'!$F$14&lt;&gt;"",'Your debts'!$F$7&lt;&gt;"",'Your debts'!$F$14&lt;'Your debts'!$F$7),AV118,0)+IF(AND('Your debts'!$F$15&lt;&gt;"",'Your debts'!$F$7&lt;&gt;"",'Your debts'!$F$15&lt;'Your debts'!$F$7),BA118,0)))))</f>
        <v/>
      </c>
      <c r="O118" s="33">
        <f>M118-N118</f>
        <v/>
      </c>
      <c r="P118" s="33">
        <f>IF(T117&lt;=0,0,ROUND(T117*(1+'Your debts'!$D$8/1200),2))</f>
        <v/>
      </c>
      <c r="Q118" s="33">
        <f>IF(P118&lt;=0,0,MIN('Your debts'!$E$8,P118))</f>
        <v/>
      </c>
      <c r="R118" s="33">
        <f>P118-Q118</f>
        <v/>
      </c>
      <c r="S118" s="33">
        <f>IF('Your debts'!$F$8="",0,MIN(R118,MAX(0,MAX(0,'Your debts'!$C$19-(G118+L118+Q118+V118+AA118+AF118+AK118+AP118+AU118+AZ118))-(IF(AND('Your debts'!$F$6&lt;&gt;"",'Your debts'!$F$8&lt;&gt;"",'Your debts'!$F$6&lt;'Your debts'!$F$8),H118,0)+IF(AND('Your debts'!$F$7&lt;&gt;"",'Your debts'!$F$8&lt;&gt;"",'Your debts'!$F$7&lt;'Your debts'!$F$8),M118,0)+IF(AND('Your debts'!$F$9&lt;&gt;"",'Your debts'!$F$8&lt;&gt;"",'Your debts'!$F$9&lt;'Your debts'!$F$8),W118,0)+IF(AND('Your debts'!$F$10&lt;&gt;"",'Your debts'!$F$8&lt;&gt;"",'Your debts'!$F$10&lt;'Your debts'!$F$8),AB118,0)+IF(AND('Your debts'!$F$11&lt;&gt;"",'Your debts'!$F$8&lt;&gt;"",'Your debts'!$F$11&lt;'Your debts'!$F$8),AG118,0)+IF(AND('Your debts'!$F$12&lt;&gt;"",'Your debts'!$F$8&lt;&gt;"",'Your debts'!$F$12&lt;'Your debts'!$F$8),AL118,0)+IF(AND('Your debts'!$F$13&lt;&gt;"",'Your debts'!$F$8&lt;&gt;"",'Your debts'!$F$13&lt;'Your debts'!$F$8),AQ118,0)+IF(AND('Your debts'!$F$14&lt;&gt;"",'Your debts'!$F$8&lt;&gt;"",'Your debts'!$F$14&lt;'Your debts'!$F$8),AV118,0)+IF(AND('Your debts'!$F$15&lt;&gt;"",'Your debts'!$F$8&lt;&gt;"",'Your debts'!$F$15&lt;'Your debts'!$F$8),BA118,0)))))</f>
        <v/>
      </c>
      <c r="T118" s="33">
        <f>R118-S118</f>
        <v/>
      </c>
      <c r="U118" s="33">
        <f>IF(Y117&lt;=0,0,ROUND(Y117*(1+'Your debts'!$D$9/1200),2))</f>
        <v/>
      </c>
      <c r="V118" s="33">
        <f>IF(U118&lt;=0,0,MIN('Your debts'!$E$9,U118))</f>
        <v/>
      </c>
      <c r="W118" s="33">
        <f>U118-V118</f>
        <v/>
      </c>
      <c r="X118" s="33">
        <f>IF('Your debts'!$F$9="",0,MIN(W118,MAX(0,MAX(0,'Your debts'!$C$19-(G118+L118+Q118+V118+AA118+AF118+AK118+AP118+AU118+AZ118))-(IF(AND('Your debts'!$F$6&lt;&gt;"",'Your debts'!$F$9&lt;&gt;"",'Your debts'!$F$6&lt;'Your debts'!$F$9),H118,0)+IF(AND('Your debts'!$F$7&lt;&gt;"",'Your debts'!$F$9&lt;&gt;"",'Your debts'!$F$7&lt;'Your debts'!$F$9),M118,0)+IF(AND('Your debts'!$F$8&lt;&gt;"",'Your debts'!$F$9&lt;&gt;"",'Your debts'!$F$8&lt;'Your debts'!$F$9),R118,0)+IF(AND('Your debts'!$F$10&lt;&gt;"",'Your debts'!$F$9&lt;&gt;"",'Your debts'!$F$10&lt;'Your debts'!$F$9),AB118,0)+IF(AND('Your debts'!$F$11&lt;&gt;"",'Your debts'!$F$9&lt;&gt;"",'Your debts'!$F$11&lt;'Your debts'!$F$9),AG118,0)+IF(AND('Your debts'!$F$12&lt;&gt;"",'Your debts'!$F$9&lt;&gt;"",'Your debts'!$F$12&lt;'Your debts'!$F$9),AL118,0)+IF(AND('Your debts'!$F$13&lt;&gt;"",'Your debts'!$F$9&lt;&gt;"",'Your debts'!$F$13&lt;'Your debts'!$F$9),AQ118,0)+IF(AND('Your debts'!$F$14&lt;&gt;"",'Your debts'!$F$9&lt;&gt;"",'Your debts'!$F$14&lt;'Your debts'!$F$9),AV118,0)+IF(AND('Your debts'!$F$15&lt;&gt;"",'Your debts'!$F$9&lt;&gt;"",'Your debts'!$F$15&lt;'Your debts'!$F$9),BA118,0)))))</f>
        <v/>
      </c>
      <c r="Y118" s="33">
        <f>W118-X118</f>
        <v/>
      </c>
      <c r="Z118" s="33">
        <f>IF(AD117&lt;=0,0,ROUND(AD117*(1+'Your debts'!$D$10/1200),2))</f>
        <v/>
      </c>
      <c r="AA118" s="33">
        <f>IF(Z118&lt;=0,0,MIN('Your debts'!$E$10,Z118))</f>
        <v/>
      </c>
      <c r="AB118" s="33">
        <f>Z118-AA118</f>
        <v/>
      </c>
      <c r="AC118" s="33">
        <f>IF('Your debts'!$F$10="",0,MIN(AB118,MAX(0,MAX(0,'Your debts'!$C$19-(G118+L118+Q118+V118+AA118+AF118+AK118+AP118+AU118+AZ118))-(IF(AND('Your debts'!$F$6&lt;&gt;"",'Your debts'!$F$10&lt;&gt;"",'Your debts'!$F$6&lt;'Your debts'!$F$10),H118,0)+IF(AND('Your debts'!$F$7&lt;&gt;"",'Your debts'!$F$10&lt;&gt;"",'Your debts'!$F$7&lt;'Your debts'!$F$10),M118,0)+IF(AND('Your debts'!$F$8&lt;&gt;"",'Your debts'!$F$10&lt;&gt;"",'Your debts'!$F$8&lt;'Your debts'!$F$10),R118,0)+IF(AND('Your debts'!$F$9&lt;&gt;"",'Your debts'!$F$10&lt;&gt;"",'Your debts'!$F$9&lt;'Your debts'!$F$10),W118,0)+IF(AND('Your debts'!$F$11&lt;&gt;"",'Your debts'!$F$10&lt;&gt;"",'Your debts'!$F$11&lt;'Your debts'!$F$10),AG118,0)+IF(AND('Your debts'!$F$12&lt;&gt;"",'Your debts'!$F$10&lt;&gt;"",'Your debts'!$F$12&lt;'Your debts'!$F$10),AL118,0)+IF(AND('Your debts'!$F$13&lt;&gt;"",'Your debts'!$F$10&lt;&gt;"",'Your debts'!$F$13&lt;'Your debts'!$F$10),AQ118,0)+IF(AND('Your debts'!$F$14&lt;&gt;"",'Your debts'!$F$10&lt;&gt;"",'Your debts'!$F$14&lt;'Your debts'!$F$10),AV118,0)+IF(AND('Your debts'!$F$15&lt;&gt;"",'Your debts'!$F$10&lt;&gt;"",'Your debts'!$F$15&lt;'Your debts'!$F$10),BA118,0)))))</f>
        <v/>
      </c>
      <c r="AD118" s="33">
        <f>AB118-AC118</f>
        <v/>
      </c>
      <c r="AE118" s="33">
        <f>IF(AI117&lt;=0,0,ROUND(AI117*(1+'Your debts'!$D$11/1200),2))</f>
        <v/>
      </c>
      <c r="AF118" s="33">
        <f>IF(AE118&lt;=0,0,MIN('Your debts'!$E$11,AE118))</f>
        <v/>
      </c>
      <c r="AG118" s="33">
        <f>AE118-AF118</f>
        <v/>
      </c>
      <c r="AH118" s="33">
        <f>IF('Your debts'!$F$11="",0,MIN(AG118,MAX(0,MAX(0,'Your debts'!$C$19-(G118+L118+Q118+V118+AA118+AF118+AK118+AP118+AU118+AZ118))-(IF(AND('Your debts'!$F$6&lt;&gt;"",'Your debts'!$F$11&lt;&gt;"",'Your debts'!$F$6&lt;'Your debts'!$F$11),H118,0)+IF(AND('Your debts'!$F$7&lt;&gt;"",'Your debts'!$F$11&lt;&gt;"",'Your debts'!$F$7&lt;'Your debts'!$F$11),M118,0)+IF(AND('Your debts'!$F$8&lt;&gt;"",'Your debts'!$F$11&lt;&gt;"",'Your debts'!$F$8&lt;'Your debts'!$F$11),R118,0)+IF(AND('Your debts'!$F$9&lt;&gt;"",'Your debts'!$F$11&lt;&gt;"",'Your debts'!$F$9&lt;'Your debts'!$F$11),W118,0)+IF(AND('Your debts'!$F$10&lt;&gt;"",'Your debts'!$F$11&lt;&gt;"",'Your debts'!$F$10&lt;'Your debts'!$F$11),AB118,0)+IF(AND('Your debts'!$F$12&lt;&gt;"",'Your debts'!$F$11&lt;&gt;"",'Your debts'!$F$12&lt;'Your debts'!$F$11),AL118,0)+IF(AND('Your debts'!$F$13&lt;&gt;"",'Your debts'!$F$11&lt;&gt;"",'Your debts'!$F$13&lt;'Your debts'!$F$11),AQ118,0)+IF(AND('Your debts'!$F$14&lt;&gt;"",'Your debts'!$F$11&lt;&gt;"",'Your debts'!$F$14&lt;'Your debts'!$F$11),AV118,0)+IF(AND('Your debts'!$F$15&lt;&gt;"",'Your debts'!$F$11&lt;&gt;"",'Your debts'!$F$15&lt;'Your debts'!$F$11),BA118,0)))))</f>
        <v/>
      </c>
      <c r="AI118" s="33">
        <f>AG118-AH118</f>
        <v/>
      </c>
      <c r="AJ118" s="33">
        <f>IF(AN117&lt;=0,0,ROUND(AN117*(1+'Your debts'!$D$12/1200),2))</f>
        <v/>
      </c>
      <c r="AK118" s="33">
        <f>IF(AJ118&lt;=0,0,MIN('Your debts'!$E$12,AJ118))</f>
        <v/>
      </c>
      <c r="AL118" s="33">
        <f>AJ118-AK118</f>
        <v/>
      </c>
      <c r="AM118" s="33">
        <f>IF('Your debts'!$F$12="",0,MIN(AL118,MAX(0,MAX(0,'Your debts'!$C$19-(G118+L118+Q118+V118+AA118+AF118+AK118+AP118+AU118+AZ118))-(IF(AND('Your debts'!$F$6&lt;&gt;"",'Your debts'!$F$12&lt;&gt;"",'Your debts'!$F$6&lt;'Your debts'!$F$12),H118,0)+IF(AND('Your debts'!$F$7&lt;&gt;"",'Your debts'!$F$12&lt;&gt;"",'Your debts'!$F$7&lt;'Your debts'!$F$12),M118,0)+IF(AND('Your debts'!$F$8&lt;&gt;"",'Your debts'!$F$12&lt;&gt;"",'Your debts'!$F$8&lt;'Your debts'!$F$12),R118,0)+IF(AND('Your debts'!$F$9&lt;&gt;"",'Your debts'!$F$12&lt;&gt;"",'Your debts'!$F$9&lt;'Your debts'!$F$12),W118,0)+IF(AND('Your debts'!$F$10&lt;&gt;"",'Your debts'!$F$12&lt;&gt;"",'Your debts'!$F$10&lt;'Your debts'!$F$12),AB118,0)+IF(AND('Your debts'!$F$11&lt;&gt;"",'Your debts'!$F$12&lt;&gt;"",'Your debts'!$F$11&lt;'Your debts'!$F$12),AG118,0)+IF(AND('Your debts'!$F$13&lt;&gt;"",'Your debts'!$F$12&lt;&gt;"",'Your debts'!$F$13&lt;'Your debts'!$F$12),AQ118,0)+IF(AND('Your debts'!$F$14&lt;&gt;"",'Your debts'!$F$12&lt;&gt;"",'Your debts'!$F$14&lt;'Your debts'!$F$12),AV118,0)+IF(AND('Your debts'!$F$15&lt;&gt;"",'Your debts'!$F$12&lt;&gt;"",'Your debts'!$F$15&lt;'Your debts'!$F$12),BA118,0)))))</f>
        <v/>
      </c>
      <c r="AN118" s="33">
        <f>AL118-AM118</f>
        <v/>
      </c>
      <c r="AO118" s="33">
        <f>IF(AS117&lt;=0,0,ROUND(AS117*(1+'Your debts'!$D$13/1200),2))</f>
        <v/>
      </c>
      <c r="AP118" s="33">
        <f>IF(AO118&lt;=0,0,MIN('Your debts'!$E$13,AO118))</f>
        <v/>
      </c>
      <c r="AQ118" s="33">
        <f>AO118-AP118</f>
        <v/>
      </c>
      <c r="AR118" s="33">
        <f>IF('Your debts'!$F$13="",0,MIN(AQ118,MAX(0,MAX(0,'Your debts'!$C$19-(G118+L118+Q118+V118+AA118+AF118+AK118+AP118+AU118+AZ118))-(IF(AND('Your debts'!$F$6&lt;&gt;"",'Your debts'!$F$13&lt;&gt;"",'Your debts'!$F$6&lt;'Your debts'!$F$13),H118,0)+IF(AND('Your debts'!$F$7&lt;&gt;"",'Your debts'!$F$13&lt;&gt;"",'Your debts'!$F$7&lt;'Your debts'!$F$13),M118,0)+IF(AND('Your debts'!$F$8&lt;&gt;"",'Your debts'!$F$13&lt;&gt;"",'Your debts'!$F$8&lt;'Your debts'!$F$13),R118,0)+IF(AND('Your debts'!$F$9&lt;&gt;"",'Your debts'!$F$13&lt;&gt;"",'Your debts'!$F$9&lt;'Your debts'!$F$13),W118,0)+IF(AND('Your debts'!$F$10&lt;&gt;"",'Your debts'!$F$13&lt;&gt;"",'Your debts'!$F$10&lt;'Your debts'!$F$13),AB118,0)+IF(AND('Your debts'!$F$11&lt;&gt;"",'Your debts'!$F$13&lt;&gt;"",'Your debts'!$F$11&lt;'Your debts'!$F$13),AG118,0)+IF(AND('Your debts'!$F$12&lt;&gt;"",'Your debts'!$F$13&lt;&gt;"",'Your debts'!$F$12&lt;'Your debts'!$F$13),AL118,0)+IF(AND('Your debts'!$F$14&lt;&gt;"",'Your debts'!$F$13&lt;&gt;"",'Your debts'!$F$14&lt;'Your debts'!$F$13),AV118,0)+IF(AND('Your debts'!$F$15&lt;&gt;"",'Your debts'!$F$13&lt;&gt;"",'Your debts'!$F$15&lt;'Your debts'!$F$13),BA118,0)))))</f>
        <v/>
      </c>
      <c r="AS118" s="33">
        <f>AQ118-AR118</f>
        <v/>
      </c>
      <c r="AT118" s="33">
        <f>IF(AX117&lt;=0,0,ROUND(AX117*(1+'Your debts'!$D$14/1200),2))</f>
        <v/>
      </c>
      <c r="AU118" s="33">
        <f>IF(AT118&lt;=0,0,MIN('Your debts'!$E$14,AT118))</f>
        <v/>
      </c>
      <c r="AV118" s="33">
        <f>AT118-AU118</f>
        <v/>
      </c>
      <c r="AW118" s="33">
        <f>IF('Your debts'!$F$14="",0,MIN(AV118,MAX(0,MAX(0,'Your debts'!$C$19-(G118+L118+Q118+V118+AA118+AF118+AK118+AP118+AU118+AZ118))-(IF(AND('Your debts'!$F$6&lt;&gt;"",'Your debts'!$F$14&lt;&gt;"",'Your debts'!$F$6&lt;'Your debts'!$F$14),H118,0)+IF(AND('Your debts'!$F$7&lt;&gt;"",'Your debts'!$F$14&lt;&gt;"",'Your debts'!$F$7&lt;'Your debts'!$F$14),M118,0)+IF(AND('Your debts'!$F$8&lt;&gt;"",'Your debts'!$F$14&lt;&gt;"",'Your debts'!$F$8&lt;'Your debts'!$F$14),R118,0)+IF(AND('Your debts'!$F$9&lt;&gt;"",'Your debts'!$F$14&lt;&gt;"",'Your debts'!$F$9&lt;'Your debts'!$F$14),W118,0)+IF(AND('Your debts'!$F$10&lt;&gt;"",'Your debts'!$F$14&lt;&gt;"",'Your debts'!$F$10&lt;'Your debts'!$F$14),AB118,0)+IF(AND('Your debts'!$F$11&lt;&gt;"",'Your debts'!$F$14&lt;&gt;"",'Your debts'!$F$11&lt;'Your debts'!$F$14),AG118,0)+IF(AND('Your debts'!$F$12&lt;&gt;"",'Your debts'!$F$14&lt;&gt;"",'Your debts'!$F$12&lt;'Your debts'!$F$14),AL118,0)+IF(AND('Your debts'!$F$13&lt;&gt;"",'Your debts'!$F$14&lt;&gt;"",'Your debts'!$F$13&lt;'Your debts'!$F$14),AQ118,0)+IF(AND('Your debts'!$F$15&lt;&gt;"",'Your debts'!$F$14&lt;&gt;"",'Your debts'!$F$15&lt;'Your debts'!$F$14),BA118,0)))))</f>
        <v/>
      </c>
      <c r="AX118" s="33">
        <f>AV118-AW118</f>
        <v/>
      </c>
      <c r="AY118" s="33">
        <f>IF(BC117&lt;=0,0,ROUND(BC117*(1+'Your debts'!$D$15/1200),2))</f>
        <v/>
      </c>
      <c r="AZ118" s="33">
        <f>IF(AY118&lt;=0,0,MIN('Your debts'!$E$15,AY118))</f>
        <v/>
      </c>
      <c r="BA118" s="33">
        <f>AY118-AZ118</f>
        <v/>
      </c>
      <c r="BB118" s="33">
        <f>IF('Your debts'!$F$15="",0,MIN(BA118,MAX(0,MAX(0,'Your debts'!$C$19-(G118+L118+Q118+V118+AA118+AF118+AK118+AP118+AU118+AZ118))-(IF(AND('Your debts'!$F$6&lt;&gt;"",'Your debts'!$F$15&lt;&gt;"",'Your debts'!$F$6&lt;'Your debts'!$F$15),H118,0)+IF(AND('Your debts'!$F$7&lt;&gt;"",'Your debts'!$F$15&lt;&gt;"",'Your debts'!$F$7&lt;'Your debts'!$F$15),M118,0)+IF(AND('Your debts'!$F$8&lt;&gt;"",'Your debts'!$F$15&lt;&gt;"",'Your debts'!$F$8&lt;'Your debts'!$F$15),R118,0)+IF(AND('Your debts'!$F$9&lt;&gt;"",'Your debts'!$F$15&lt;&gt;"",'Your debts'!$F$9&lt;'Your debts'!$F$15),W118,0)+IF(AND('Your debts'!$F$10&lt;&gt;"",'Your debts'!$F$15&lt;&gt;"",'Your debts'!$F$10&lt;'Your debts'!$F$15),AB118,0)+IF(AND('Your debts'!$F$11&lt;&gt;"",'Your debts'!$F$15&lt;&gt;"",'Your debts'!$F$11&lt;'Your debts'!$F$15),AG118,0)+IF(AND('Your debts'!$F$12&lt;&gt;"",'Your debts'!$F$15&lt;&gt;"",'Your debts'!$F$12&lt;'Your debts'!$F$15),AL118,0)+IF(AND('Your debts'!$F$13&lt;&gt;"",'Your debts'!$F$15&lt;&gt;"",'Your debts'!$F$13&lt;'Your debts'!$F$15),AQ118,0)+IF(AND('Your debts'!$F$14&lt;&gt;"",'Your debts'!$F$15&lt;&gt;"",'Your debts'!$F$14&lt;'Your debts'!$F$15),AV118,0)))))</f>
        <v/>
      </c>
      <c r="BC118" s="33">
        <f>BA118-BB118</f>
        <v/>
      </c>
    </row>
    <row r="119">
      <c r="A119" s="30" t="n">
        <v>104</v>
      </c>
      <c r="B119" s="31">
        <f>EDATE($B$15,104)</f>
        <v/>
      </c>
      <c r="C119" s="32">
        <f>IF(J118&lt;=0,0,F119-J118)+IF(O118&lt;=0,0,K119-O118)+IF(T118&lt;=0,0,P119-T118)+IF(Y118&lt;=0,0,U119-Y118)+IF(AD118&lt;=0,0,Z119-AD118)+IF(AI118&lt;=0,0,AE119-AI118)+IF(AN118&lt;=0,0,AJ119-AN118)+IF(AS118&lt;=0,0,AO119-AS118)+IF(AX118&lt;=0,0,AT119-AX118)+IF(BC118&lt;=0,0,AY119-BC118)</f>
        <v/>
      </c>
      <c r="D119" s="32">
        <f>G119+I119+L119+N119+Q119+S119+V119+X119+AA119+AC119+AF119+AH119+AK119+AM119+AP119+AR119+AU119+AW119+AZ119+BB119</f>
        <v/>
      </c>
      <c r="E119" s="32">
        <f>J119+O119+T119+Y119+AD119+AI119+AN119+AS119+AX119+BC119</f>
        <v/>
      </c>
      <c r="F119" s="33">
        <f>IF(J118&lt;=0,0,ROUND(J118*(1+'Your debts'!$D$6/1200),2))</f>
        <v/>
      </c>
      <c r="G119" s="33">
        <f>IF(F119&lt;=0,0,MIN('Your debts'!$E$6,F119))</f>
        <v/>
      </c>
      <c r="H119" s="33">
        <f>F119-G119</f>
        <v/>
      </c>
      <c r="I119" s="33">
        <f>IF('Your debts'!$F$6="",0,MIN(H119,MAX(0,MAX(0,'Your debts'!$C$19-(G119+L119+Q119+V119+AA119+AF119+AK119+AP119+AU119+AZ119))-(IF(AND('Your debts'!$F$7&lt;&gt;"",'Your debts'!$F$6&lt;&gt;"",'Your debts'!$F$7&lt;'Your debts'!$F$6),M119,0)+IF(AND('Your debts'!$F$8&lt;&gt;"",'Your debts'!$F$6&lt;&gt;"",'Your debts'!$F$8&lt;'Your debts'!$F$6),R119,0)+IF(AND('Your debts'!$F$9&lt;&gt;"",'Your debts'!$F$6&lt;&gt;"",'Your debts'!$F$9&lt;'Your debts'!$F$6),W119,0)+IF(AND('Your debts'!$F$10&lt;&gt;"",'Your debts'!$F$6&lt;&gt;"",'Your debts'!$F$10&lt;'Your debts'!$F$6),AB119,0)+IF(AND('Your debts'!$F$11&lt;&gt;"",'Your debts'!$F$6&lt;&gt;"",'Your debts'!$F$11&lt;'Your debts'!$F$6),AG119,0)+IF(AND('Your debts'!$F$12&lt;&gt;"",'Your debts'!$F$6&lt;&gt;"",'Your debts'!$F$12&lt;'Your debts'!$F$6),AL119,0)+IF(AND('Your debts'!$F$13&lt;&gt;"",'Your debts'!$F$6&lt;&gt;"",'Your debts'!$F$13&lt;'Your debts'!$F$6),AQ119,0)+IF(AND('Your debts'!$F$14&lt;&gt;"",'Your debts'!$F$6&lt;&gt;"",'Your debts'!$F$14&lt;'Your debts'!$F$6),AV119,0)+IF(AND('Your debts'!$F$15&lt;&gt;"",'Your debts'!$F$6&lt;&gt;"",'Your debts'!$F$15&lt;'Your debts'!$F$6),BA119,0)))))</f>
        <v/>
      </c>
      <c r="J119" s="33">
        <f>H119-I119</f>
        <v/>
      </c>
      <c r="K119" s="33">
        <f>IF(O118&lt;=0,0,ROUND(O118*(1+'Your debts'!$D$7/1200),2))</f>
        <v/>
      </c>
      <c r="L119" s="33">
        <f>IF(K119&lt;=0,0,MIN('Your debts'!$E$7,K119))</f>
        <v/>
      </c>
      <c r="M119" s="33">
        <f>K119-L119</f>
        <v/>
      </c>
      <c r="N119" s="33">
        <f>IF('Your debts'!$F$7="",0,MIN(M119,MAX(0,MAX(0,'Your debts'!$C$19-(G119+L119+Q119+V119+AA119+AF119+AK119+AP119+AU119+AZ119))-(IF(AND('Your debts'!$F$6&lt;&gt;"",'Your debts'!$F$7&lt;&gt;"",'Your debts'!$F$6&lt;'Your debts'!$F$7),H119,0)+IF(AND('Your debts'!$F$8&lt;&gt;"",'Your debts'!$F$7&lt;&gt;"",'Your debts'!$F$8&lt;'Your debts'!$F$7),R119,0)+IF(AND('Your debts'!$F$9&lt;&gt;"",'Your debts'!$F$7&lt;&gt;"",'Your debts'!$F$9&lt;'Your debts'!$F$7),W119,0)+IF(AND('Your debts'!$F$10&lt;&gt;"",'Your debts'!$F$7&lt;&gt;"",'Your debts'!$F$10&lt;'Your debts'!$F$7),AB119,0)+IF(AND('Your debts'!$F$11&lt;&gt;"",'Your debts'!$F$7&lt;&gt;"",'Your debts'!$F$11&lt;'Your debts'!$F$7),AG119,0)+IF(AND('Your debts'!$F$12&lt;&gt;"",'Your debts'!$F$7&lt;&gt;"",'Your debts'!$F$12&lt;'Your debts'!$F$7),AL119,0)+IF(AND('Your debts'!$F$13&lt;&gt;"",'Your debts'!$F$7&lt;&gt;"",'Your debts'!$F$13&lt;'Your debts'!$F$7),AQ119,0)+IF(AND('Your debts'!$F$14&lt;&gt;"",'Your debts'!$F$7&lt;&gt;"",'Your debts'!$F$14&lt;'Your debts'!$F$7),AV119,0)+IF(AND('Your debts'!$F$15&lt;&gt;"",'Your debts'!$F$7&lt;&gt;"",'Your debts'!$F$15&lt;'Your debts'!$F$7),BA119,0)))))</f>
        <v/>
      </c>
      <c r="O119" s="33">
        <f>M119-N119</f>
        <v/>
      </c>
      <c r="P119" s="33">
        <f>IF(T118&lt;=0,0,ROUND(T118*(1+'Your debts'!$D$8/1200),2))</f>
        <v/>
      </c>
      <c r="Q119" s="33">
        <f>IF(P119&lt;=0,0,MIN('Your debts'!$E$8,P119))</f>
        <v/>
      </c>
      <c r="R119" s="33">
        <f>P119-Q119</f>
        <v/>
      </c>
      <c r="S119" s="33">
        <f>IF('Your debts'!$F$8="",0,MIN(R119,MAX(0,MAX(0,'Your debts'!$C$19-(G119+L119+Q119+V119+AA119+AF119+AK119+AP119+AU119+AZ119))-(IF(AND('Your debts'!$F$6&lt;&gt;"",'Your debts'!$F$8&lt;&gt;"",'Your debts'!$F$6&lt;'Your debts'!$F$8),H119,0)+IF(AND('Your debts'!$F$7&lt;&gt;"",'Your debts'!$F$8&lt;&gt;"",'Your debts'!$F$7&lt;'Your debts'!$F$8),M119,0)+IF(AND('Your debts'!$F$9&lt;&gt;"",'Your debts'!$F$8&lt;&gt;"",'Your debts'!$F$9&lt;'Your debts'!$F$8),W119,0)+IF(AND('Your debts'!$F$10&lt;&gt;"",'Your debts'!$F$8&lt;&gt;"",'Your debts'!$F$10&lt;'Your debts'!$F$8),AB119,0)+IF(AND('Your debts'!$F$11&lt;&gt;"",'Your debts'!$F$8&lt;&gt;"",'Your debts'!$F$11&lt;'Your debts'!$F$8),AG119,0)+IF(AND('Your debts'!$F$12&lt;&gt;"",'Your debts'!$F$8&lt;&gt;"",'Your debts'!$F$12&lt;'Your debts'!$F$8),AL119,0)+IF(AND('Your debts'!$F$13&lt;&gt;"",'Your debts'!$F$8&lt;&gt;"",'Your debts'!$F$13&lt;'Your debts'!$F$8),AQ119,0)+IF(AND('Your debts'!$F$14&lt;&gt;"",'Your debts'!$F$8&lt;&gt;"",'Your debts'!$F$14&lt;'Your debts'!$F$8),AV119,0)+IF(AND('Your debts'!$F$15&lt;&gt;"",'Your debts'!$F$8&lt;&gt;"",'Your debts'!$F$15&lt;'Your debts'!$F$8),BA119,0)))))</f>
        <v/>
      </c>
      <c r="T119" s="33">
        <f>R119-S119</f>
        <v/>
      </c>
      <c r="U119" s="33">
        <f>IF(Y118&lt;=0,0,ROUND(Y118*(1+'Your debts'!$D$9/1200),2))</f>
        <v/>
      </c>
      <c r="V119" s="33">
        <f>IF(U119&lt;=0,0,MIN('Your debts'!$E$9,U119))</f>
        <v/>
      </c>
      <c r="W119" s="33">
        <f>U119-V119</f>
        <v/>
      </c>
      <c r="X119" s="33">
        <f>IF('Your debts'!$F$9="",0,MIN(W119,MAX(0,MAX(0,'Your debts'!$C$19-(G119+L119+Q119+V119+AA119+AF119+AK119+AP119+AU119+AZ119))-(IF(AND('Your debts'!$F$6&lt;&gt;"",'Your debts'!$F$9&lt;&gt;"",'Your debts'!$F$6&lt;'Your debts'!$F$9),H119,0)+IF(AND('Your debts'!$F$7&lt;&gt;"",'Your debts'!$F$9&lt;&gt;"",'Your debts'!$F$7&lt;'Your debts'!$F$9),M119,0)+IF(AND('Your debts'!$F$8&lt;&gt;"",'Your debts'!$F$9&lt;&gt;"",'Your debts'!$F$8&lt;'Your debts'!$F$9),R119,0)+IF(AND('Your debts'!$F$10&lt;&gt;"",'Your debts'!$F$9&lt;&gt;"",'Your debts'!$F$10&lt;'Your debts'!$F$9),AB119,0)+IF(AND('Your debts'!$F$11&lt;&gt;"",'Your debts'!$F$9&lt;&gt;"",'Your debts'!$F$11&lt;'Your debts'!$F$9),AG119,0)+IF(AND('Your debts'!$F$12&lt;&gt;"",'Your debts'!$F$9&lt;&gt;"",'Your debts'!$F$12&lt;'Your debts'!$F$9),AL119,0)+IF(AND('Your debts'!$F$13&lt;&gt;"",'Your debts'!$F$9&lt;&gt;"",'Your debts'!$F$13&lt;'Your debts'!$F$9),AQ119,0)+IF(AND('Your debts'!$F$14&lt;&gt;"",'Your debts'!$F$9&lt;&gt;"",'Your debts'!$F$14&lt;'Your debts'!$F$9),AV119,0)+IF(AND('Your debts'!$F$15&lt;&gt;"",'Your debts'!$F$9&lt;&gt;"",'Your debts'!$F$15&lt;'Your debts'!$F$9),BA119,0)))))</f>
        <v/>
      </c>
      <c r="Y119" s="33">
        <f>W119-X119</f>
        <v/>
      </c>
      <c r="Z119" s="33">
        <f>IF(AD118&lt;=0,0,ROUND(AD118*(1+'Your debts'!$D$10/1200),2))</f>
        <v/>
      </c>
      <c r="AA119" s="33">
        <f>IF(Z119&lt;=0,0,MIN('Your debts'!$E$10,Z119))</f>
        <v/>
      </c>
      <c r="AB119" s="33">
        <f>Z119-AA119</f>
        <v/>
      </c>
      <c r="AC119" s="33">
        <f>IF('Your debts'!$F$10="",0,MIN(AB119,MAX(0,MAX(0,'Your debts'!$C$19-(G119+L119+Q119+V119+AA119+AF119+AK119+AP119+AU119+AZ119))-(IF(AND('Your debts'!$F$6&lt;&gt;"",'Your debts'!$F$10&lt;&gt;"",'Your debts'!$F$6&lt;'Your debts'!$F$10),H119,0)+IF(AND('Your debts'!$F$7&lt;&gt;"",'Your debts'!$F$10&lt;&gt;"",'Your debts'!$F$7&lt;'Your debts'!$F$10),M119,0)+IF(AND('Your debts'!$F$8&lt;&gt;"",'Your debts'!$F$10&lt;&gt;"",'Your debts'!$F$8&lt;'Your debts'!$F$10),R119,0)+IF(AND('Your debts'!$F$9&lt;&gt;"",'Your debts'!$F$10&lt;&gt;"",'Your debts'!$F$9&lt;'Your debts'!$F$10),W119,0)+IF(AND('Your debts'!$F$11&lt;&gt;"",'Your debts'!$F$10&lt;&gt;"",'Your debts'!$F$11&lt;'Your debts'!$F$10),AG119,0)+IF(AND('Your debts'!$F$12&lt;&gt;"",'Your debts'!$F$10&lt;&gt;"",'Your debts'!$F$12&lt;'Your debts'!$F$10),AL119,0)+IF(AND('Your debts'!$F$13&lt;&gt;"",'Your debts'!$F$10&lt;&gt;"",'Your debts'!$F$13&lt;'Your debts'!$F$10),AQ119,0)+IF(AND('Your debts'!$F$14&lt;&gt;"",'Your debts'!$F$10&lt;&gt;"",'Your debts'!$F$14&lt;'Your debts'!$F$10),AV119,0)+IF(AND('Your debts'!$F$15&lt;&gt;"",'Your debts'!$F$10&lt;&gt;"",'Your debts'!$F$15&lt;'Your debts'!$F$10),BA119,0)))))</f>
        <v/>
      </c>
      <c r="AD119" s="33">
        <f>AB119-AC119</f>
        <v/>
      </c>
      <c r="AE119" s="33">
        <f>IF(AI118&lt;=0,0,ROUND(AI118*(1+'Your debts'!$D$11/1200),2))</f>
        <v/>
      </c>
      <c r="AF119" s="33">
        <f>IF(AE119&lt;=0,0,MIN('Your debts'!$E$11,AE119))</f>
        <v/>
      </c>
      <c r="AG119" s="33">
        <f>AE119-AF119</f>
        <v/>
      </c>
      <c r="AH119" s="33">
        <f>IF('Your debts'!$F$11="",0,MIN(AG119,MAX(0,MAX(0,'Your debts'!$C$19-(G119+L119+Q119+V119+AA119+AF119+AK119+AP119+AU119+AZ119))-(IF(AND('Your debts'!$F$6&lt;&gt;"",'Your debts'!$F$11&lt;&gt;"",'Your debts'!$F$6&lt;'Your debts'!$F$11),H119,0)+IF(AND('Your debts'!$F$7&lt;&gt;"",'Your debts'!$F$11&lt;&gt;"",'Your debts'!$F$7&lt;'Your debts'!$F$11),M119,0)+IF(AND('Your debts'!$F$8&lt;&gt;"",'Your debts'!$F$11&lt;&gt;"",'Your debts'!$F$8&lt;'Your debts'!$F$11),R119,0)+IF(AND('Your debts'!$F$9&lt;&gt;"",'Your debts'!$F$11&lt;&gt;"",'Your debts'!$F$9&lt;'Your debts'!$F$11),W119,0)+IF(AND('Your debts'!$F$10&lt;&gt;"",'Your debts'!$F$11&lt;&gt;"",'Your debts'!$F$10&lt;'Your debts'!$F$11),AB119,0)+IF(AND('Your debts'!$F$12&lt;&gt;"",'Your debts'!$F$11&lt;&gt;"",'Your debts'!$F$12&lt;'Your debts'!$F$11),AL119,0)+IF(AND('Your debts'!$F$13&lt;&gt;"",'Your debts'!$F$11&lt;&gt;"",'Your debts'!$F$13&lt;'Your debts'!$F$11),AQ119,0)+IF(AND('Your debts'!$F$14&lt;&gt;"",'Your debts'!$F$11&lt;&gt;"",'Your debts'!$F$14&lt;'Your debts'!$F$11),AV119,0)+IF(AND('Your debts'!$F$15&lt;&gt;"",'Your debts'!$F$11&lt;&gt;"",'Your debts'!$F$15&lt;'Your debts'!$F$11),BA119,0)))))</f>
        <v/>
      </c>
      <c r="AI119" s="33">
        <f>AG119-AH119</f>
        <v/>
      </c>
      <c r="AJ119" s="33">
        <f>IF(AN118&lt;=0,0,ROUND(AN118*(1+'Your debts'!$D$12/1200),2))</f>
        <v/>
      </c>
      <c r="AK119" s="33">
        <f>IF(AJ119&lt;=0,0,MIN('Your debts'!$E$12,AJ119))</f>
        <v/>
      </c>
      <c r="AL119" s="33">
        <f>AJ119-AK119</f>
        <v/>
      </c>
      <c r="AM119" s="33">
        <f>IF('Your debts'!$F$12="",0,MIN(AL119,MAX(0,MAX(0,'Your debts'!$C$19-(G119+L119+Q119+V119+AA119+AF119+AK119+AP119+AU119+AZ119))-(IF(AND('Your debts'!$F$6&lt;&gt;"",'Your debts'!$F$12&lt;&gt;"",'Your debts'!$F$6&lt;'Your debts'!$F$12),H119,0)+IF(AND('Your debts'!$F$7&lt;&gt;"",'Your debts'!$F$12&lt;&gt;"",'Your debts'!$F$7&lt;'Your debts'!$F$12),M119,0)+IF(AND('Your debts'!$F$8&lt;&gt;"",'Your debts'!$F$12&lt;&gt;"",'Your debts'!$F$8&lt;'Your debts'!$F$12),R119,0)+IF(AND('Your debts'!$F$9&lt;&gt;"",'Your debts'!$F$12&lt;&gt;"",'Your debts'!$F$9&lt;'Your debts'!$F$12),W119,0)+IF(AND('Your debts'!$F$10&lt;&gt;"",'Your debts'!$F$12&lt;&gt;"",'Your debts'!$F$10&lt;'Your debts'!$F$12),AB119,0)+IF(AND('Your debts'!$F$11&lt;&gt;"",'Your debts'!$F$12&lt;&gt;"",'Your debts'!$F$11&lt;'Your debts'!$F$12),AG119,0)+IF(AND('Your debts'!$F$13&lt;&gt;"",'Your debts'!$F$12&lt;&gt;"",'Your debts'!$F$13&lt;'Your debts'!$F$12),AQ119,0)+IF(AND('Your debts'!$F$14&lt;&gt;"",'Your debts'!$F$12&lt;&gt;"",'Your debts'!$F$14&lt;'Your debts'!$F$12),AV119,0)+IF(AND('Your debts'!$F$15&lt;&gt;"",'Your debts'!$F$12&lt;&gt;"",'Your debts'!$F$15&lt;'Your debts'!$F$12),BA119,0)))))</f>
        <v/>
      </c>
      <c r="AN119" s="33">
        <f>AL119-AM119</f>
        <v/>
      </c>
      <c r="AO119" s="33">
        <f>IF(AS118&lt;=0,0,ROUND(AS118*(1+'Your debts'!$D$13/1200),2))</f>
        <v/>
      </c>
      <c r="AP119" s="33">
        <f>IF(AO119&lt;=0,0,MIN('Your debts'!$E$13,AO119))</f>
        <v/>
      </c>
      <c r="AQ119" s="33">
        <f>AO119-AP119</f>
        <v/>
      </c>
      <c r="AR119" s="33">
        <f>IF('Your debts'!$F$13="",0,MIN(AQ119,MAX(0,MAX(0,'Your debts'!$C$19-(G119+L119+Q119+V119+AA119+AF119+AK119+AP119+AU119+AZ119))-(IF(AND('Your debts'!$F$6&lt;&gt;"",'Your debts'!$F$13&lt;&gt;"",'Your debts'!$F$6&lt;'Your debts'!$F$13),H119,0)+IF(AND('Your debts'!$F$7&lt;&gt;"",'Your debts'!$F$13&lt;&gt;"",'Your debts'!$F$7&lt;'Your debts'!$F$13),M119,0)+IF(AND('Your debts'!$F$8&lt;&gt;"",'Your debts'!$F$13&lt;&gt;"",'Your debts'!$F$8&lt;'Your debts'!$F$13),R119,0)+IF(AND('Your debts'!$F$9&lt;&gt;"",'Your debts'!$F$13&lt;&gt;"",'Your debts'!$F$9&lt;'Your debts'!$F$13),W119,0)+IF(AND('Your debts'!$F$10&lt;&gt;"",'Your debts'!$F$13&lt;&gt;"",'Your debts'!$F$10&lt;'Your debts'!$F$13),AB119,0)+IF(AND('Your debts'!$F$11&lt;&gt;"",'Your debts'!$F$13&lt;&gt;"",'Your debts'!$F$11&lt;'Your debts'!$F$13),AG119,0)+IF(AND('Your debts'!$F$12&lt;&gt;"",'Your debts'!$F$13&lt;&gt;"",'Your debts'!$F$12&lt;'Your debts'!$F$13),AL119,0)+IF(AND('Your debts'!$F$14&lt;&gt;"",'Your debts'!$F$13&lt;&gt;"",'Your debts'!$F$14&lt;'Your debts'!$F$13),AV119,0)+IF(AND('Your debts'!$F$15&lt;&gt;"",'Your debts'!$F$13&lt;&gt;"",'Your debts'!$F$15&lt;'Your debts'!$F$13),BA119,0)))))</f>
        <v/>
      </c>
      <c r="AS119" s="33">
        <f>AQ119-AR119</f>
        <v/>
      </c>
      <c r="AT119" s="33">
        <f>IF(AX118&lt;=0,0,ROUND(AX118*(1+'Your debts'!$D$14/1200),2))</f>
        <v/>
      </c>
      <c r="AU119" s="33">
        <f>IF(AT119&lt;=0,0,MIN('Your debts'!$E$14,AT119))</f>
        <v/>
      </c>
      <c r="AV119" s="33">
        <f>AT119-AU119</f>
        <v/>
      </c>
      <c r="AW119" s="33">
        <f>IF('Your debts'!$F$14="",0,MIN(AV119,MAX(0,MAX(0,'Your debts'!$C$19-(G119+L119+Q119+V119+AA119+AF119+AK119+AP119+AU119+AZ119))-(IF(AND('Your debts'!$F$6&lt;&gt;"",'Your debts'!$F$14&lt;&gt;"",'Your debts'!$F$6&lt;'Your debts'!$F$14),H119,0)+IF(AND('Your debts'!$F$7&lt;&gt;"",'Your debts'!$F$14&lt;&gt;"",'Your debts'!$F$7&lt;'Your debts'!$F$14),M119,0)+IF(AND('Your debts'!$F$8&lt;&gt;"",'Your debts'!$F$14&lt;&gt;"",'Your debts'!$F$8&lt;'Your debts'!$F$14),R119,0)+IF(AND('Your debts'!$F$9&lt;&gt;"",'Your debts'!$F$14&lt;&gt;"",'Your debts'!$F$9&lt;'Your debts'!$F$14),W119,0)+IF(AND('Your debts'!$F$10&lt;&gt;"",'Your debts'!$F$14&lt;&gt;"",'Your debts'!$F$10&lt;'Your debts'!$F$14),AB119,0)+IF(AND('Your debts'!$F$11&lt;&gt;"",'Your debts'!$F$14&lt;&gt;"",'Your debts'!$F$11&lt;'Your debts'!$F$14),AG119,0)+IF(AND('Your debts'!$F$12&lt;&gt;"",'Your debts'!$F$14&lt;&gt;"",'Your debts'!$F$12&lt;'Your debts'!$F$14),AL119,0)+IF(AND('Your debts'!$F$13&lt;&gt;"",'Your debts'!$F$14&lt;&gt;"",'Your debts'!$F$13&lt;'Your debts'!$F$14),AQ119,0)+IF(AND('Your debts'!$F$15&lt;&gt;"",'Your debts'!$F$14&lt;&gt;"",'Your debts'!$F$15&lt;'Your debts'!$F$14),BA119,0)))))</f>
        <v/>
      </c>
      <c r="AX119" s="33">
        <f>AV119-AW119</f>
        <v/>
      </c>
      <c r="AY119" s="33">
        <f>IF(BC118&lt;=0,0,ROUND(BC118*(1+'Your debts'!$D$15/1200),2))</f>
        <v/>
      </c>
      <c r="AZ119" s="33">
        <f>IF(AY119&lt;=0,0,MIN('Your debts'!$E$15,AY119))</f>
        <v/>
      </c>
      <c r="BA119" s="33">
        <f>AY119-AZ119</f>
        <v/>
      </c>
      <c r="BB119" s="33">
        <f>IF('Your debts'!$F$15="",0,MIN(BA119,MAX(0,MAX(0,'Your debts'!$C$19-(G119+L119+Q119+V119+AA119+AF119+AK119+AP119+AU119+AZ119))-(IF(AND('Your debts'!$F$6&lt;&gt;"",'Your debts'!$F$15&lt;&gt;"",'Your debts'!$F$6&lt;'Your debts'!$F$15),H119,0)+IF(AND('Your debts'!$F$7&lt;&gt;"",'Your debts'!$F$15&lt;&gt;"",'Your debts'!$F$7&lt;'Your debts'!$F$15),M119,0)+IF(AND('Your debts'!$F$8&lt;&gt;"",'Your debts'!$F$15&lt;&gt;"",'Your debts'!$F$8&lt;'Your debts'!$F$15),R119,0)+IF(AND('Your debts'!$F$9&lt;&gt;"",'Your debts'!$F$15&lt;&gt;"",'Your debts'!$F$9&lt;'Your debts'!$F$15),W119,0)+IF(AND('Your debts'!$F$10&lt;&gt;"",'Your debts'!$F$15&lt;&gt;"",'Your debts'!$F$10&lt;'Your debts'!$F$15),AB119,0)+IF(AND('Your debts'!$F$11&lt;&gt;"",'Your debts'!$F$15&lt;&gt;"",'Your debts'!$F$11&lt;'Your debts'!$F$15),AG119,0)+IF(AND('Your debts'!$F$12&lt;&gt;"",'Your debts'!$F$15&lt;&gt;"",'Your debts'!$F$12&lt;'Your debts'!$F$15),AL119,0)+IF(AND('Your debts'!$F$13&lt;&gt;"",'Your debts'!$F$15&lt;&gt;"",'Your debts'!$F$13&lt;'Your debts'!$F$15),AQ119,0)+IF(AND('Your debts'!$F$14&lt;&gt;"",'Your debts'!$F$15&lt;&gt;"",'Your debts'!$F$14&lt;'Your debts'!$F$15),AV119,0)))))</f>
        <v/>
      </c>
      <c r="BC119" s="33">
        <f>BA119-BB119</f>
        <v/>
      </c>
    </row>
    <row r="120">
      <c r="A120" s="30" t="n">
        <v>105</v>
      </c>
      <c r="B120" s="31">
        <f>EDATE($B$15,105)</f>
        <v/>
      </c>
      <c r="C120" s="32">
        <f>IF(J119&lt;=0,0,F120-J119)+IF(O119&lt;=0,0,K120-O119)+IF(T119&lt;=0,0,P120-T119)+IF(Y119&lt;=0,0,U120-Y119)+IF(AD119&lt;=0,0,Z120-AD119)+IF(AI119&lt;=0,0,AE120-AI119)+IF(AN119&lt;=0,0,AJ120-AN119)+IF(AS119&lt;=0,0,AO120-AS119)+IF(AX119&lt;=0,0,AT120-AX119)+IF(BC119&lt;=0,0,AY120-BC119)</f>
        <v/>
      </c>
      <c r="D120" s="32">
        <f>G120+I120+L120+N120+Q120+S120+V120+X120+AA120+AC120+AF120+AH120+AK120+AM120+AP120+AR120+AU120+AW120+AZ120+BB120</f>
        <v/>
      </c>
      <c r="E120" s="32">
        <f>J120+O120+T120+Y120+AD120+AI120+AN120+AS120+AX120+BC120</f>
        <v/>
      </c>
      <c r="F120" s="33">
        <f>IF(J119&lt;=0,0,ROUND(J119*(1+'Your debts'!$D$6/1200),2))</f>
        <v/>
      </c>
      <c r="G120" s="33">
        <f>IF(F120&lt;=0,0,MIN('Your debts'!$E$6,F120))</f>
        <v/>
      </c>
      <c r="H120" s="33">
        <f>F120-G120</f>
        <v/>
      </c>
      <c r="I120" s="33">
        <f>IF('Your debts'!$F$6="",0,MIN(H120,MAX(0,MAX(0,'Your debts'!$C$19-(G120+L120+Q120+V120+AA120+AF120+AK120+AP120+AU120+AZ120))-(IF(AND('Your debts'!$F$7&lt;&gt;"",'Your debts'!$F$6&lt;&gt;"",'Your debts'!$F$7&lt;'Your debts'!$F$6),M120,0)+IF(AND('Your debts'!$F$8&lt;&gt;"",'Your debts'!$F$6&lt;&gt;"",'Your debts'!$F$8&lt;'Your debts'!$F$6),R120,0)+IF(AND('Your debts'!$F$9&lt;&gt;"",'Your debts'!$F$6&lt;&gt;"",'Your debts'!$F$9&lt;'Your debts'!$F$6),W120,0)+IF(AND('Your debts'!$F$10&lt;&gt;"",'Your debts'!$F$6&lt;&gt;"",'Your debts'!$F$10&lt;'Your debts'!$F$6),AB120,0)+IF(AND('Your debts'!$F$11&lt;&gt;"",'Your debts'!$F$6&lt;&gt;"",'Your debts'!$F$11&lt;'Your debts'!$F$6),AG120,0)+IF(AND('Your debts'!$F$12&lt;&gt;"",'Your debts'!$F$6&lt;&gt;"",'Your debts'!$F$12&lt;'Your debts'!$F$6),AL120,0)+IF(AND('Your debts'!$F$13&lt;&gt;"",'Your debts'!$F$6&lt;&gt;"",'Your debts'!$F$13&lt;'Your debts'!$F$6),AQ120,0)+IF(AND('Your debts'!$F$14&lt;&gt;"",'Your debts'!$F$6&lt;&gt;"",'Your debts'!$F$14&lt;'Your debts'!$F$6),AV120,0)+IF(AND('Your debts'!$F$15&lt;&gt;"",'Your debts'!$F$6&lt;&gt;"",'Your debts'!$F$15&lt;'Your debts'!$F$6),BA120,0)))))</f>
        <v/>
      </c>
      <c r="J120" s="33">
        <f>H120-I120</f>
        <v/>
      </c>
      <c r="K120" s="33">
        <f>IF(O119&lt;=0,0,ROUND(O119*(1+'Your debts'!$D$7/1200),2))</f>
        <v/>
      </c>
      <c r="L120" s="33">
        <f>IF(K120&lt;=0,0,MIN('Your debts'!$E$7,K120))</f>
        <v/>
      </c>
      <c r="M120" s="33">
        <f>K120-L120</f>
        <v/>
      </c>
      <c r="N120" s="33">
        <f>IF('Your debts'!$F$7="",0,MIN(M120,MAX(0,MAX(0,'Your debts'!$C$19-(G120+L120+Q120+V120+AA120+AF120+AK120+AP120+AU120+AZ120))-(IF(AND('Your debts'!$F$6&lt;&gt;"",'Your debts'!$F$7&lt;&gt;"",'Your debts'!$F$6&lt;'Your debts'!$F$7),H120,0)+IF(AND('Your debts'!$F$8&lt;&gt;"",'Your debts'!$F$7&lt;&gt;"",'Your debts'!$F$8&lt;'Your debts'!$F$7),R120,0)+IF(AND('Your debts'!$F$9&lt;&gt;"",'Your debts'!$F$7&lt;&gt;"",'Your debts'!$F$9&lt;'Your debts'!$F$7),W120,0)+IF(AND('Your debts'!$F$10&lt;&gt;"",'Your debts'!$F$7&lt;&gt;"",'Your debts'!$F$10&lt;'Your debts'!$F$7),AB120,0)+IF(AND('Your debts'!$F$11&lt;&gt;"",'Your debts'!$F$7&lt;&gt;"",'Your debts'!$F$11&lt;'Your debts'!$F$7),AG120,0)+IF(AND('Your debts'!$F$12&lt;&gt;"",'Your debts'!$F$7&lt;&gt;"",'Your debts'!$F$12&lt;'Your debts'!$F$7),AL120,0)+IF(AND('Your debts'!$F$13&lt;&gt;"",'Your debts'!$F$7&lt;&gt;"",'Your debts'!$F$13&lt;'Your debts'!$F$7),AQ120,0)+IF(AND('Your debts'!$F$14&lt;&gt;"",'Your debts'!$F$7&lt;&gt;"",'Your debts'!$F$14&lt;'Your debts'!$F$7),AV120,0)+IF(AND('Your debts'!$F$15&lt;&gt;"",'Your debts'!$F$7&lt;&gt;"",'Your debts'!$F$15&lt;'Your debts'!$F$7),BA120,0)))))</f>
        <v/>
      </c>
      <c r="O120" s="33">
        <f>M120-N120</f>
        <v/>
      </c>
      <c r="P120" s="33">
        <f>IF(T119&lt;=0,0,ROUND(T119*(1+'Your debts'!$D$8/1200),2))</f>
        <v/>
      </c>
      <c r="Q120" s="33">
        <f>IF(P120&lt;=0,0,MIN('Your debts'!$E$8,P120))</f>
        <v/>
      </c>
      <c r="R120" s="33">
        <f>P120-Q120</f>
        <v/>
      </c>
      <c r="S120" s="33">
        <f>IF('Your debts'!$F$8="",0,MIN(R120,MAX(0,MAX(0,'Your debts'!$C$19-(G120+L120+Q120+V120+AA120+AF120+AK120+AP120+AU120+AZ120))-(IF(AND('Your debts'!$F$6&lt;&gt;"",'Your debts'!$F$8&lt;&gt;"",'Your debts'!$F$6&lt;'Your debts'!$F$8),H120,0)+IF(AND('Your debts'!$F$7&lt;&gt;"",'Your debts'!$F$8&lt;&gt;"",'Your debts'!$F$7&lt;'Your debts'!$F$8),M120,0)+IF(AND('Your debts'!$F$9&lt;&gt;"",'Your debts'!$F$8&lt;&gt;"",'Your debts'!$F$9&lt;'Your debts'!$F$8),W120,0)+IF(AND('Your debts'!$F$10&lt;&gt;"",'Your debts'!$F$8&lt;&gt;"",'Your debts'!$F$10&lt;'Your debts'!$F$8),AB120,0)+IF(AND('Your debts'!$F$11&lt;&gt;"",'Your debts'!$F$8&lt;&gt;"",'Your debts'!$F$11&lt;'Your debts'!$F$8),AG120,0)+IF(AND('Your debts'!$F$12&lt;&gt;"",'Your debts'!$F$8&lt;&gt;"",'Your debts'!$F$12&lt;'Your debts'!$F$8),AL120,0)+IF(AND('Your debts'!$F$13&lt;&gt;"",'Your debts'!$F$8&lt;&gt;"",'Your debts'!$F$13&lt;'Your debts'!$F$8),AQ120,0)+IF(AND('Your debts'!$F$14&lt;&gt;"",'Your debts'!$F$8&lt;&gt;"",'Your debts'!$F$14&lt;'Your debts'!$F$8),AV120,0)+IF(AND('Your debts'!$F$15&lt;&gt;"",'Your debts'!$F$8&lt;&gt;"",'Your debts'!$F$15&lt;'Your debts'!$F$8),BA120,0)))))</f>
        <v/>
      </c>
      <c r="T120" s="33">
        <f>R120-S120</f>
        <v/>
      </c>
      <c r="U120" s="33">
        <f>IF(Y119&lt;=0,0,ROUND(Y119*(1+'Your debts'!$D$9/1200),2))</f>
        <v/>
      </c>
      <c r="V120" s="33">
        <f>IF(U120&lt;=0,0,MIN('Your debts'!$E$9,U120))</f>
        <v/>
      </c>
      <c r="W120" s="33">
        <f>U120-V120</f>
        <v/>
      </c>
      <c r="X120" s="33">
        <f>IF('Your debts'!$F$9="",0,MIN(W120,MAX(0,MAX(0,'Your debts'!$C$19-(G120+L120+Q120+V120+AA120+AF120+AK120+AP120+AU120+AZ120))-(IF(AND('Your debts'!$F$6&lt;&gt;"",'Your debts'!$F$9&lt;&gt;"",'Your debts'!$F$6&lt;'Your debts'!$F$9),H120,0)+IF(AND('Your debts'!$F$7&lt;&gt;"",'Your debts'!$F$9&lt;&gt;"",'Your debts'!$F$7&lt;'Your debts'!$F$9),M120,0)+IF(AND('Your debts'!$F$8&lt;&gt;"",'Your debts'!$F$9&lt;&gt;"",'Your debts'!$F$8&lt;'Your debts'!$F$9),R120,0)+IF(AND('Your debts'!$F$10&lt;&gt;"",'Your debts'!$F$9&lt;&gt;"",'Your debts'!$F$10&lt;'Your debts'!$F$9),AB120,0)+IF(AND('Your debts'!$F$11&lt;&gt;"",'Your debts'!$F$9&lt;&gt;"",'Your debts'!$F$11&lt;'Your debts'!$F$9),AG120,0)+IF(AND('Your debts'!$F$12&lt;&gt;"",'Your debts'!$F$9&lt;&gt;"",'Your debts'!$F$12&lt;'Your debts'!$F$9),AL120,0)+IF(AND('Your debts'!$F$13&lt;&gt;"",'Your debts'!$F$9&lt;&gt;"",'Your debts'!$F$13&lt;'Your debts'!$F$9),AQ120,0)+IF(AND('Your debts'!$F$14&lt;&gt;"",'Your debts'!$F$9&lt;&gt;"",'Your debts'!$F$14&lt;'Your debts'!$F$9),AV120,0)+IF(AND('Your debts'!$F$15&lt;&gt;"",'Your debts'!$F$9&lt;&gt;"",'Your debts'!$F$15&lt;'Your debts'!$F$9),BA120,0)))))</f>
        <v/>
      </c>
      <c r="Y120" s="33">
        <f>W120-X120</f>
        <v/>
      </c>
      <c r="Z120" s="33">
        <f>IF(AD119&lt;=0,0,ROUND(AD119*(1+'Your debts'!$D$10/1200),2))</f>
        <v/>
      </c>
      <c r="AA120" s="33">
        <f>IF(Z120&lt;=0,0,MIN('Your debts'!$E$10,Z120))</f>
        <v/>
      </c>
      <c r="AB120" s="33">
        <f>Z120-AA120</f>
        <v/>
      </c>
      <c r="AC120" s="33">
        <f>IF('Your debts'!$F$10="",0,MIN(AB120,MAX(0,MAX(0,'Your debts'!$C$19-(G120+L120+Q120+V120+AA120+AF120+AK120+AP120+AU120+AZ120))-(IF(AND('Your debts'!$F$6&lt;&gt;"",'Your debts'!$F$10&lt;&gt;"",'Your debts'!$F$6&lt;'Your debts'!$F$10),H120,0)+IF(AND('Your debts'!$F$7&lt;&gt;"",'Your debts'!$F$10&lt;&gt;"",'Your debts'!$F$7&lt;'Your debts'!$F$10),M120,0)+IF(AND('Your debts'!$F$8&lt;&gt;"",'Your debts'!$F$10&lt;&gt;"",'Your debts'!$F$8&lt;'Your debts'!$F$10),R120,0)+IF(AND('Your debts'!$F$9&lt;&gt;"",'Your debts'!$F$10&lt;&gt;"",'Your debts'!$F$9&lt;'Your debts'!$F$10),W120,0)+IF(AND('Your debts'!$F$11&lt;&gt;"",'Your debts'!$F$10&lt;&gt;"",'Your debts'!$F$11&lt;'Your debts'!$F$10),AG120,0)+IF(AND('Your debts'!$F$12&lt;&gt;"",'Your debts'!$F$10&lt;&gt;"",'Your debts'!$F$12&lt;'Your debts'!$F$10),AL120,0)+IF(AND('Your debts'!$F$13&lt;&gt;"",'Your debts'!$F$10&lt;&gt;"",'Your debts'!$F$13&lt;'Your debts'!$F$10),AQ120,0)+IF(AND('Your debts'!$F$14&lt;&gt;"",'Your debts'!$F$10&lt;&gt;"",'Your debts'!$F$14&lt;'Your debts'!$F$10),AV120,0)+IF(AND('Your debts'!$F$15&lt;&gt;"",'Your debts'!$F$10&lt;&gt;"",'Your debts'!$F$15&lt;'Your debts'!$F$10),BA120,0)))))</f>
        <v/>
      </c>
      <c r="AD120" s="33">
        <f>AB120-AC120</f>
        <v/>
      </c>
      <c r="AE120" s="33">
        <f>IF(AI119&lt;=0,0,ROUND(AI119*(1+'Your debts'!$D$11/1200),2))</f>
        <v/>
      </c>
      <c r="AF120" s="33">
        <f>IF(AE120&lt;=0,0,MIN('Your debts'!$E$11,AE120))</f>
        <v/>
      </c>
      <c r="AG120" s="33">
        <f>AE120-AF120</f>
        <v/>
      </c>
      <c r="AH120" s="33">
        <f>IF('Your debts'!$F$11="",0,MIN(AG120,MAX(0,MAX(0,'Your debts'!$C$19-(G120+L120+Q120+V120+AA120+AF120+AK120+AP120+AU120+AZ120))-(IF(AND('Your debts'!$F$6&lt;&gt;"",'Your debts'!$F$11&lt;&gt;"",'Your debts'!$F$6&lt;'Your debts'!$F$11),H120,0)+IF(AND('Your debts'!$F$7&lt;&gt;"",'Your debts'!$F$11&lt;&gt;"",'Your debts'!$F$7&lt;'Your debts'!$F$11),M120,0)+IF(AND('Your debts'!$F$8&lt;&gt;"",'Your debts'!$F$11&lt;&gt;"",'Your debts'!$F$8&lt;'Your debts'!$F$11),R120,0)+IF(AND('Your debts'!$F$9&lt;&gt;"",'Your debts'!$F$11&lt;&gt;"",'Your debts'!$F$9&lt;'Your debts'!$F$11),W120,0)+IF(AND('Your debts'!$F$10&lt;&gt;"",'Your debts'!$F$11&lt;&gt;"",'Your debts'!$F$10&lt;'Your debts'!$F$11),AB120,0)+IF(AND('Your debts'!$F$12&lt;&gt;"",'Your debts'!$F$11&lt;&gt;"",'Your debts'!$F$12&lt;'Your debts'!$F$11),AL120,0)+IF(AND('Your debts'!$F$13&lt;&gt;"",'Your debts'!$F$11&lt;&gt;"",'Your debts'!$F$13&lt;'Your debts'!$F$11),AQ120,0)+IF(AND('Your debts'!$F$14&lt;&gt;"",'Your debts'!$F$11&lt;&gt;"",'Your debts'!$F$14&lt;'Your debts'!$F$11),AV120,0)+IF(AND('Your debts'!$F$15&lt;&gt;"",'Your debts'!$F$11&lt;&gt;"",'Your debts'!$F$15&lt;'Your debts'!$F$11),BA120,0)))))</f>
        <v/>
      </c>
      <c r="AI120" s="33">
        <f>AG120-AH120</f>
        <v/>
      </c>
      <c r="AJ120" s="33">
        <f>IF(AN119&lt;=0,0,ROUND(AN119*(1+'Your debts'!$D$12/1200),2))</f>
        <v/>
      </c>
      <c r="AK120" s="33">
        <f>IF(AJ120&lt;=0,0,MIN('Your debts'!$E$12,AJ120))</f>
        <v/>
      </c>
      <c r="AL120" s="33">
        <f>AJ120-AK120</f>
        <v/>
      </c>
      <c r="AM120" s="33">
        <f>IF('Your debts'!$F$12="",0,MIN(AL120,MAX(0,MAX(0,'Your debts'!$C$19-(G120+L120+Q120+V120+AA120+AF120+AK120+AP120+AU120+AZ120))-(IF(AND('Your debts'!$F$6&lt;&gt;"",'Your debts'!$F$12&lt;&gt;"",'Your debts'!$F$6&lt;'Your debts'!$F$12),H120,0)+IF(AND('Your debts'!$F$7&lt;&gt;"",'Your debts'!$F$12&lt;&gt;"",'Your debts'!$F$7&lt;'Your debts'!$F$12),M120,0)+IF(AND('Your debts'!$F$8&lt;&gt;"",'Your debts'!$F$12&lt;&gt;"",'Your debts'!$F$8&lt;'Your debts'!$F$12),R120,0)+IF(AND('Your debts'!$F$9&lt;&gt;"",'Your debts'!$F$12&lt;&gt;"",'Your debts'!$F$9&lt;'Your debts'!$F$12),W120,0)+IF(AND('Your debts'!$F$10&lt;&gt;"",'Your debts'!$F$12&lt;&gt;"",'Your debts'!$F$10&lt;'Your debts'!$F$12),AB120,0)+IF(AND('Your debts'!$F$11&lt;&gt;"",'Your debts'!$F$12&lt;&gt;"",'Your debts'!$F$11&lt;'Your debts'!$F$12),AG120,0)+IF(AND('Your debts'!$F$13&lt;&gt;"",'Your debts'!$F$12&lt;&gt;"",'Your debts'!$F$13&lt;'Your debts'!$F$12),AQ120,0)+IF(AND('Your debts'!$F$14&lt;&gt;"",'Your debts'!$F$12&lt;&gt;"",'Your debts'!$F$14&lt;'Your debts'!$F$12),AV120,0)+IF(AND('Your debts'!$F$15&lt;&gt;"",'Your debts'!$F$12&lt;&gt;"",'Your debts'!$F$15&lt;'Your debts'!$F$12),BA120,0)))))</f>
        <v/>
      </c>
      <c r="AN120" s="33">
        <f>AL120-AM120</f>
        <v/>
      </c>
      <c r="AO120" s="33">
        <f>IF(AS119&lt;=0,0,ROUND(AS119*(1+'Your debts'!$D$13/1200),2))</f>
        <v/>
      </c>
      <c r="AP120" s="33">
        <f>IF(AO120&lt;=0,0,MIN('Your debts'!$E$13,AO120))</f>
        <v/>
      </c>
      <c r="AQ120" s="33">
        <f>AO120-AP120</f>
        <v/>
      </c>
      <c r="AR120" s="33">
        <f>IF('Your debts'!$F$13="",0,MIN(AQ120,MAX(0,MAX(0,'Your debts'!$C$19-(G120+L120+Q120+V120+AA120+AF120+AK120+AP120+AU120+AZ120))-(IF(AND('Your debts'!$F$6&lt;&gt;"",'Your debts'!$F$13&lt;&gt;"",'Your debts'!$F$6&lt;'Your debts'!$F$13),H120,0)+IF(AND('Your debts'!$F$7&lt;&gt;"",'Your debts'!$F$13&lt;&gt;"",'Your debts'!$F$7&lt;'Your debts'!$F$13),M120,0)+IF(AND('Your debts'!$F$8&lt;&gt;"",'Your debts'!$F$13&lt;&gt;"",'Your debts'!$F$8&lt;'Your debts'!$F$13),R120,0)+IF(AND('Your debts'!$F$9&lt;&gt;"",'Your debts'!$F$13&lt;&gt;"",'Your debts'!$F$9&lt;'Your debts'!$F$13),W120,0)+IF(AND('Your debts'!$F$10&lt;&gt;"",'Your debts'!$F$13&lt;&gt;"",'Your debts'!$F$10&lt;'Your debts'!$F$13),AB120,0)+IF(AND('Your debts'!$F$11&lt;&gt;"",'Your debts'!$F$13&lt;&gt;"",'Your debts'!$F$11&lt;'Your debts'!$F$13),AG120,0)+IF(AND('Your debts'!$F$12&lt;&gt;"",'Your debts'!$F$13&lt;&gt;"",'Your debts'!$F$12&lt;'Your debts'!$F$13),AL120,0)+IF(AND('Your debts'!$F$14&lt;&gt;"",'Your debts'!$F$13&lt;&gt;"",'Your debts'!$F$14&lt;'Your debts'!$F$13),AV120,0)+IF(AND('Your debts'!$F$15&lt;&gt;"",'Your debts'!$F$13&lt;&gt;"",'Your debts'!$F$15&lt;'Your debts'!$F$13),BA120,0)))))</f>
        <v/>
      </c>
      <c r="AS120" s="33">
        <f>AQ120-AR120</f>
        <v/>
      </c>
      <c r="AT120" s="33">
        <f>IF(AX119&lt;=0,0,ROUND(AX119*(1+'Your debts'!$D$14/1200),2))</f>
        <v/>
      </c>
      <c r="AU120" s="33">
        <f>IF(AT120&lt;=0,0,MIN('Your debts'!$E$14,AT120))</f>
        <v/>
      </c>
      <c r="AV120" s="33">
        <f>AT120-AU120</f>
        <v/>
      </c>
      <c r="AW120" s="33">
        <f>IF('Your debts'!$F$14="",0,MIN(AV120,MAX(0,MAX(0,'Your debts'!$C$19-(G120+L120+Q120+V120+AA120+AF120+AK120+AP120+AU120+AZ120))-(IF(AND('Your debts'!$F$6&lt;&gt;"",'Your debts'!$F$14&lt;&gt;"",'Your debts'!$F$6&lt;'Your debts'!$F$14),H120,0)+IF(AND('Your debts'!$F$7&lt;&gt;"",'Your debts'!$F$14&lt;&gt;"",'Your debts'!$F$7&lt;'Your debts'!$F$14),M120,0)+IF(AND('Your debts'!$F$8&lt;&gt;"",'Your debts'!$F$14&lt;&gt;"",'Your debts'!$F$8&lt;'Your debts'!$F$14),R120,0)+IF(AND('Your debts'!$F$9&lt;&gt;"",'Your debts'!$F$14&lt;&gt;"",'Your debts'!$F$9&lt;'Your debts'!$F$14),W120,0)+IF(AND('Your debts'!$F$10&lt;&gt;"",'Your debts'!$F$14&lt;&gt;"",'Your debts'!$F$10&lt;'Your debts'!$F$14),AB120,0)+IF(AND('Your debts'!$F$11&lt;&gt;"",'Your debts'!$F$14&lt;&gt;"",'Your debts'!$F$11&lt;'Your debts'!$F$14),AG120,0)+IF(AND('Your debts'!$F$12&lt;&gt;"",'Your debts'!$F$14&lt;&gt;"",'Your debts'!$F$12&lt;'Your debts'!$F$14),AL120,0)+IF(AND('Your debts'!$F$13&lt;&gt;"",'Your debts'!$F$14&lt;&gt;"",'Your debts'!$F$13&lt;'Your debts'!$F$14),AQ120,0)+IF(AND('Your debts'!$F$15&lt;&gt;"",'Your debts'!$F$14&lt;&gt;"",'Your debts'!$F$15&lt;'Your debts'!$F$14),BA120,0)))))</f>
        <v/>
      </c>
      <c r="AX120" s="33">
        <f>AV120-AW120</f>
        <v/>
      </c>
      <c r="AY120" s="33">
        <f>IF(BC119&lt;=0,0,ROUND(BC119*(1+'Your debts'!$D$15/1200),2))</f>
        <v/>
      </c>
      <c r="AZ120" s="33">
        <f>IF(AY120&lt;=0,0,MIN('Your debts'!$E$15,AY120))</f>
        <v/>
      </c>
      <c r="BA120" s="33">
        <f>AY120-AZ120</f>
        <v/>
      </c>
      <c r="BB120" s="33">
        <f>IF('Your debts'!$F$15="",0,MIN(BA120,MAX(0,MAX(0,'Your debts'!$C$19-(G120+L120+Q120+V120+AA120+AF120+AK120+AP120+AU120+AZ120))-(IF(AND('Your debts'!$F$6&lt;&gt;"",'Your debts'!$F$15&lt;&gt;"",'Your debts'!$F$6&lt;'Your debts'!$F$15),H120,0)+IF(AND('Your debts'!$F$7&lt;&gt;"",'Your debts'!$F$15&lt;&gt;"",'Your debts'!$F$7&lt;'Your debts'!$F$15),M120,0)+IF(AND('Your debts'!$F$8&lt;&gt;"",'Your debts'!$F$15&lt;&gt;"",'Your debts'!$F$8&lt;'Your debts'!$F$15),R120,0)+IF(AND('Your debts'!$F$9&lt;&gt;"",'Your debts'!$F$15&lt;&gt;"",'Your debts'!$F$9&lt;'Your debts'!$F$15),W120,0)+IF(AND('Your debts'!$F$10&lt;&gt;"",'Your debts'!$F$15&lt;&gt;"",'Your debts'!$F$10&lt;'Your debts'!$F$15),AB120,0)+IF(AND('Your debts'!$F$11&lt;&gt;"",'Your debts'!$F$15&lt;&gt;"",'Your debts'!$F$11&lt;'Your debts'!$F$15),AG120,0)+IF(AND('Your debts'!$F$12&lt;&gt;"",'Your debts'!$F$15&lt;&gt;"",'Your debts'!$F$12&lt;'Your debts'!$F$15),AL120,0)+IF(AND('Your debts'!$F$13&lt;&gt;"",'Your debts'!$F$15&lt;&gt;"",'Your debts'!$F$13&lt;'Your debts'!$F$15),AQ120,0)+IF(AND('Your debts'!$F$14&lt;&gt;"",'Your debts'!$F$15&lt;&gt;"",'Your debts'!$F$14&lt;'Your debts'!$F$15),AV120,0)))))</f>
        <v/>
      </c>
      <c r="BC120" s="33">
        <f>BA120-BB120</f>
        <v/>
      </c>
    </row>
    <row r="121">
      <c r="A121" s="30" t="n">
        <v>106</v>
      </c>
      <c r="B121" s="31">
        <f>EDATE($B$15,106)</f>
        <v/>
      </c>
      <c r="C121" s="32">
        <f>IF(J120&lt;=0,0,F121-J120)+IF(O120&lt;=0,0,K121-O120)+IF(T120&lt;=0,0,P121-T120)+IF(Y120&lt;=0,0,U121-Y120)+IF(AD120&lt;=0,0,Z121-AD120)+IF(AI120&lt;=0,0,AE121-AI120)+IF(AN120&lt;=0,0,AJ121-AN120)+IF(AS120&lt;=0,0,AO121-AS120)+IF(AX120&lt;=0,0,AT121-AX120)+IF(BC120&lt;=0,0,AY121-BC120)</f>
        <v/>
      </c>
      <c r="D121" s="32">
        <f>G121+I121+L121+N121+Q121+S121+V121+X121+AA121+AC121+AF121+AH121+AK121+AM121+AP121+AR121+AU121+AW121+AZ121+BB121</f>
        <v/>
      </c>
      <c r="E121" s="32">
        <f>J121+O121+T121+Y121+AD121+AI121+AN121+AS121+AX121+BC121</f>
        <v/>
      </c>
      <c r="F121" s="33">
        <f>IF(J120&lt;=0,0,ROUND(J120*(1+'Your debts'!$D$6/1200),2))</f>
        <v/>
      </c>
      <c r="G121" s="33">
        <f>IF(F121&lt;=0,0,MIN('Your debts'!$E$6,F121))</f>
        <v/>
      </c>
      <c r="H121" s="33">
        <f>F121-G121</f>
        <v/>
      </c>
      <c r="I121" s="33">
        <f>IF('Your debts'!$F$6="",0,MIN(H121,MAX(0,MAX(0,'Your debts'!$C$19-(G121+L121+Q121+V121+AA121+AF121+AK121+AP121+AU121+AZ121))-(IF(AND('Your debts'!$F$7&lt;&gt;"",'Your debts'!$F$6&lt;&gt;"",'Your debts'!$F$7&lt;'Your debts'!$F$6),M121,0)+IF(AND('Your debts'!$F$8&lt;&gt;"",'Your debts'!$F$6&lt;&gt;"",'Your debts'!$F$8&lt;'Your debts'!$F$6),R121,0)+IF(AND('Your debts'!$F$9&lt;&gt;"",'Your debts'!$F$6&lt;&gt;"",'Your debts'!$F$9&lt;'Your debts'!$F$6),W121,0)+IF(AND('Your debts'!$F$10&lt;&gt;"",'Your debts'!$F$6&lt;&gt;"",'Your debts'!$F$10&lt;'Your debts'!$F$6),AB121,0)+IF(AND('Your debts'!$F$11&lt;&gt;"",'Your debts'!$F$6&lt;&gt;"",'Your debts'!$F$11&lt;'Your debts'!$F$6),AG121,0)+IF(AND('Your debts'!$F$12&lt;&gt;"",'Your debts'!$F$6&lt;&gt;"",'Your debts'!$F$12&lt;'Your debts'!$F$6),AL121,0)+IF(AND('Your debts'!$F$13&lt;&gt;"",'Your debts'!$F$6&lt;&gt;"",'Your debts'!$F$13&lt;'Your debts'!$F$6),AQ121,0)+IF(AND('Your debts'!$F$14&lt;&gt;"",'Your debts'!$F$6&lt;&gt;"",'Your debts'!$F$14&lt;'Your debts'!$F$6),AV121,0)+IF(AND('Your debts'!$F$15&lt;&gt;"",'Your debts'!$F$6&lt;&gt;"",'Your debts'!$F$15&lt;'Your debts'!$F$6),BA121,0)))))</f>
        <v/>
      </c>
      <c r="J121" s="33">
        <f>H121-I121</f>
        <v/>
      </c>
      <c r="K121" s="33">
        <f>IF(O120&lt;=0,0,ROUND(O120*(1+'Your debts'!$D$7/1200),2))</f>
        <v/>
      </c>
      <c r="L121" s="33">
        <f>IF(K121&lt;=0,0,MIN('Your debts'!$E$7,K121))</f>
        <v/>
      </c>
      <c r="M121" s="33">
        <f>K121-L121</f>
        <v/>
      </c>
      <c r="N121" s="33">
        <f>IF('Your debts'!$F$7="",0,MIN(M121,MAX(0,MAX(0,'Your debts'!$C$19-(G121+L121+Q121+V121+AA121+AF121+AK121+AP121+AU121+AZ121))-(IF(AND('Your debts'!$F$6&lt;&gt;"",'Your debts'!$F$7&lt;&gt;"",'Your debts'!$F$6&lt;'Your debts'!$F$7),H121,0)+IF(AND('Your debts'!$F$8&lt;&gt;"",'Your debts'!$F$7&lt;&gt;"",'Your debts'!$F$8&lt;'Your debts'!$F$7),R121,0)+IF(AND('Your debts'!$F$9&lt;&gt;"",'Your debts'!$F$7&lt;&gt;"",'Your debts'!$F$9&lt;'Your debts'!$F$7),W121,0)+IF(AND('Your debts'!$F$10&lt;&gt;"",'Your debts'!$F$7&lt;&gt;"",'Your debts'!$F$10&lt;'Your debts'!$F$7),AB121,0)+IF(AND('Your debts'!$F$11&lt;&gt;"",'Your debts'!$F$7&lt;&gt;"",'Your debts'!$F$11&lt;'Your debts'!$F$7),AG121,0)+IF(AND('Your debts'!$F$12&lt;&gt;"",'Your debts'!$F$7&lt;&gt;"",'Your debts'!$F$12&lt;'Your debts'!$F$7),AL121,0)+IF(AND('Your debts'!$F$13&lt;&gt;"",'Your debts'!$F$7&lt;&gt;"",'Your debts'!$F$13&lt;'Your debts'!$F$7),AQ121,0)+IF(AND('Your debts'!$F$14&lt;&gt;"",'Your debts'!$F$7&lt;&gt;"",'Your debts'!$F$14&lt;'Your debts'!$F$7),AV121,0)+IF(AND('Your debts'!$F$15&lt;&gt;"",'Your debts'!$F$7&lt;&gt;"",'Your debts'!$F$15&lt;'Your debts'!$F$7),BA121,0)))))</f>
        <v/>
      </c>
      <c r="O121" s="33">
        <f>M121-N121</f>
        <v/>
      </c>
      <c r="P121" s="33">
        <f>IF(T120&lt;=0,0,ROUND(T120*(1+'Your debts'!$D$8/1200),2))</f>
        <v/>
      </c>
      <c r="Q121" s="33">
        <f>IF(P121&lt;=0,0,MIN('Your debts'!$E$8,P121))</f>
        <v/>
      </c>
      <c r="R121" s="33">
        <f>P121-Q121</f>
        <v/>
      </c>
      <c r="S121" s="33">
        <f>IF('Your debts'!$F$8="",0,MIN(R121,MAX(0,MAX(0,'Your debts'!$C$19-(G121+L121+Q121+V121+AA121+AF121+AK121+AP121+AU121+AZ121))-(IF(AND('Your debts'!$F$6&lt;&gt;"",'Your debts'!$F$8&lt;&gt;"",'Your debts'!$F$6&lt;'Your debts'!$F$8),H121,0)+IF(AND('Your debts'!$F$7&lt;&gt;"",'Your debts'!$F$8&lt;&gt;"",'Your debts'!$F$7&lt;'Your debts'!$F$8),M121,0)+IF(AND('Your debts'!$F$9&lt;&gt;"",'Your debts'!$F$8&lt;&gt;"",'Your debts'!$F$9&lt;'Your debts'!$F$8),W121,0)+IF(AND('Your debts'!$F$10&lt;&gt;"",'Your debts'!$F$8&lt;&gt;"",'Your debts'!$F$10&lt;'Your debts'!$F$8),AB121,0)+IF(AND('Your debts'!$F$11&lt;&gt;"",'Your debts'!$F$8&lt;&gt;"",'Your debts'!$F$11&lt;'Your debts'!$F$8),AG121,0)+IF(AND('Your debts'!$F$12&lt;&gt;"",'Your debts'!$F$8&lt;&gt;"",'Your debts'!$F$12&lt;'Your debts'!$F$8),AL121,0)+IF(AND('Your debts'!$F$13&lt;&gt;"",'Your debts'!$F$8&lt;&gt;"",'Your debts'!$F$13&lt;'Your debts'!$F$8),AQ121,0)+IF(AND('Your debts'!$F$14&lt;&gt;"",'Your debts'!$F$8&lt;&gt;"",'Your debts'!$F$14&lt;'Your debts'!$F$8),AV121,0)+IF(AND('Your debts'!$F$15&lt;&gt;"",'Your debts'!$F$8&lt;&gt;"",'Your debts'!$F$15&lt;'Your debts'!$F$8),BA121,0)))))</f>
        <v/>
      </c>
      <c r="T121" s="33">
        <f>R121-S121</f>
        <v/>
      </c>
      <c r="U121" s="33">
        <f>IF(Y120&lt;=0,0,ROUND(Y120*(1+'Your debts'!$D$9/1200),2))</f>
        <v/>
      </c>
      <c r="V121" s="33">
        <f>IF(U121&lt;=0,0,MIN('Your debts'!$E$9,U121))</f>
        <v/>
      </c>
      <c r="W121" s="33">
        <f>U121-V121</f>
        <v/>
      </c>
      <c r="X121" s="33">
        <f>IF('Your debts'!$F$9="",0,MIN(W121,MAX(0,MAX(0,'Your debts'!$C$19-(G121+L121+Q121+V121+AA121+AF121+AK121+AP121+AU121+AZ121))-(IF(AND('Your debts'!$F$6&lt;&gt;"",'Your debts'!$F$9&lt;&gt;"",'Your debts'!$F$6&lt;'Your debts'!$F$9),H121,0)+IF(AND('Your debts'!$F$7&lt;&gt;"",'Your debts'!$F$9&lt;&gt;"",'Your debts'!$F$7&lt;'Your debts'!$F$9),M121,0)+IF(AND('Your debts'!$F$8&lt;&gt;"",'Your debts'!$F$9&lt;&gt;"",'Your debts'!$F$8&lt;'Your debts'!$F$9),R121,0)+IF(AND('Your debts'!$F$10&lt;&gt;"",'Your debts'!$F$9&lt;&gt;"",'Your debts'!$F$10&lt;'Your debts'!$F$9),AB121,0)+IF(AND('Your debts'!$F$11&lt;&gt;"",'Your debts'!$F$9&lt;&gt;"",'Your debts'!$F$11&lt;'Your debts'!$F$9),AG121,0)+IF(AND('Your debts'!$F$12&lt;&gt;"",'Your debts'!$F$9&lt;&gt;"",'Your debts'!$F$12&lt;'Your debts'!$F$9),AL121,0)+IF(AND('Your debts'!$F$13&lt;&gt;"",'Your debts'!$F$9&lt;&gt;"",'Your debts'!$F$13&lt;'Your debts'!$F$9),AQ121,0)+IF(AND('Your debts'!$F$14&lt;&gt;"",'Your debts'!$F$9&lt;&gt;"",'Your debts'!$F$14&lt;'Your debts'!$F$9),AV121,0)+IF(AND('Your debts'!$F$15&lt;&gt;"",'Your debts'!$F$9&lt;&gt;"",'Your debts'!$F$15&lt;'Your debts'!$F$9),BA121,0)))))</f>
        <v/>
      </c>
      <c r="Y121" s="33">
        <f>W121-X121</f>
        <v/>
      </c>
      <c r="Z121" s="33">
        <f>IF(AD120&lt;=0,0,ROUND(AD120*(1+'Your debts'!$D$10/1200),2))</f>
        <v/>
      </c>
      <c r="AA121" s="33">
        <f>IF(Z121&lt;=0,0,MIN('Your debts'!$E$10,Z121))</f>
        <v/>
      </c>
      <c r="AB121" s="33">
        <f>Z121-AA121</f>
        <v/>
      </c>
      <c r="AC121" s="33">
        <f>IF('Your debts'!$F$10="",0,MIN(AB121,MAX(0,MAX(0,'Your debts'!$C$19-(G121+L121+Q121+V121+AA121+AF121+AK121+AP121+AU121+AZ121))-(IF(AND('Your debts'!$F$6&lt;&gt;"",'Your debts'!$F$10&lt;&gt;"",'Your debts'!$F$6&lt;'Your debts'!$F$10),H121,0)+IF(AND('Your debts'!$F$7&lt;&gt;"",'Your debts'!$F$10&lt;&gt;"",'Your debts'!$F$7&lt;'Your debts'!$F$10),M121,0)+IF(AND('Your debts'!$F$8&lt;&gt;"",'Your debts'!$F$10&lt;&gt;"",'Your debts'!$F$8&lt;'Your debts'!$F$10),R121,0)+IF(AND('Your debts'!$F$9&lt;&gt;"",'Your debts'!$F$10&lt;&gt;"",'Your debts'!$F$9&lt;'Your debts'!$F$10),W121,0)+IF(AND('Your debts'!$F$11&lt;&gt;"",'Your debts'!$F$10&lt;&gt;"",'Your debts'!$F$11&lt;'Your debts'!$F$10),AG121,0)+IF(AND('Your debts'!$F$12&lt;&gt;"",'Your debts'!$F$10&lt;&gt;"",'Your debts'!$F$12&lt;'Your debts'!$F$10),AL121,0)+IF(AND('Your debts'!$F$13&lt;&gt;"",'Your debts'!$F$10&lt;&gt;"",'Your debts'!$F$13&lt;'Your debts'!$F$10),AQ121,0)+IF(AND('Your debts'!$F$14&lt;&gt;"",'Your debts'!$F$10&lt;&gt;"",'Your debts'!$F$14&lt;'Your debts'!$F$10),AV121,0)+IF(AND('Your debts'!$F$15&lt;&gt;"",'Your debts'!$F$10&lt;&gt;"",'Your debts'!$F$15&lt;'Your debts'!$F$10),BA121,0)))))</f>
        <v/>
      </c>
      <c r="AD121" s="33">
        <f>AB121-AC121</f>
        <v/>
      </c>
      <c r="AE121" s="33">
        <f>IF(AI120&lt;=0,0,ROUND(AI120*(1+'Your debts'!$D$11/1200),2))</f>
        <v/>
      </c>
      <c r="AF121" s="33">
        <f>IF(AE121&lt;=0,0,MIN('Your debts'!$E$11,AE121))</f>
        <v/>
      </c>
      <c r="AG121" s="33">
        <f>AE121-AF121</f>
        <v/>
      </c>
      <c r="AH121" s="33">
        <f>IF('Your debts'!$F$11="",0,MIN(AG121,MAX(0,MAX(0,'Your debts'!$C$19-(G121+L121+Q121+V121+AA121+AF121+AK121+AP121+AU121+AZ121))-(IF(AND('Your debts'!$F$6&lt;&gt;"",'Your debts'!$F$11&lt;&gt;"",'Your debts'!$F$6&lt;'Your debts'!$F$11),H121,0)+IF(AND('Your debts'!$F$7&lt;&gt;"",'Your debts'!$F$11&lt;&gt;"",'Your debts'!$F$7&lt;'Your debts'!$F$11),M121,0)+IF(AND('Your debts'!$F$8&lt;&gt;"",'Your debts'!$F$11&lt;&gt;"",'Your debts'!$F$8&lt;'Your debts'!$F$11),R121,0)+IF(AND('Your debts'!$F$9&lt;&gt;"",'Your debts'!$F$11&lt;&gt;"",'Your debts'!$F$9&lt;'Your debts'!$F$11),W121,0)+IF(AND('Your debts'!$F$10&lt;&gt;"",'Your debts'!$F$11&lt;&gt;"",'Your debts'!$F$10&lt;'Your debts'!$F$11),AB121,0)+IF(AND('Your debts'!$F$12&lt;&gt;"",'Your debts'!$F$11&lt;&gt;"",'Your debts'!$F$12&lt;'Your debts'!$F$11),AL121,0)+IF(AND('Your debts'!$F$13&lt;&gt;"",'Your debts'!$F$11&lt;&gt;"",'Your debts'!$F$13&lt;'Your debts'!$F$11),AQ121,0)+IF(AND('Your debts'!$F$14&lt;&gt;"",'Your debts'!$F$11&lt;&gt;"",'Your debts'!$F$14&lt;'Your debts'!$F$11),AV121,0)+IF(AND('Your debts'!$F$15&lt;&gt;"",'Your debts'!$F$11&lt;&gt;"",'Your debts'!$F$15&lt;'Your debts'!$F$11),BA121,0)))))</f>
        <v/>
      </c>
      <c r="AI121" s="33">
        <f>AG121-AH121</f>
        <v/>
      </c>
      <c r="AJ121" s="33">
        <f>IF(AN120&lt;=0,0,ROUND(AN120*(1+'Your debts'!$D$12/1200),2))</f>
        <v/>
      </c>
      <c r="AK121" s="33">
        <f>IF(AJ121&lt;=0,0,MIN('Your debts'!$E$12,AJ121))</f>
        <v/>
      </c>
      <c r="AL121" s="33">
        <f>AJ121-AK121</f>
        <v/>
      </c>
      <c r="AM121" s="33">
        <f>IF('Your debts'!$F$12="",0,MIN(AL121,MAX(0,MAX(0,'Your debts'!$C$19-(G121+L121+Q121+V121+AA121+AF121+AK121+AP121+AU121+AZ121))-(IF(AND('Your debts'!$F$6&lt;&gt;"",'Your debts'!$F$12&lt;&gt;"",'Your debts'!$F$6&lt;'Your debts'!$F$12),H121,0)+IF(AND('Your debts'!$F$7&lt;&gt;"",'Your debts'!$F$12&lt;&gt;"",'Your debts'!$F$7&lt;'Your debts'!$F$12),M121,0)+IF(AND('Your debts'!$F$8&lt;&gt;"",'Your debts'!$F$12&lt;&gt;"",'Your debts'!$F$8&lt;'Your debts'!$F$12),R121,0)+IF(AND('Your debts'!$F$9&lt;&gt;"",'Your debts'!$F$12&lt;&gt;"",'Your debts'!$F$9&lt;'Your debts'!$F$12),W121,0)+IF(AND('Your debts'!$F$10&lt;&gt;"",'Your debts'!$F$12&lt;&gt;"",'Your debts'!$F$10&lt;'Your debts'!$F$12),AB121,0)+IF(AND('Your debts'!$F$11&lt;&gt;"",'Your debts'!$F$12&lt;&gt;"",'Your debts'!$F$11&lt;'Your debts'!$F$12),AG121,0)+IF(AND('Your debts'!$F$13&lt;&gt;"",'Your debts'!$F$12&lt;&gt;"",'Your debts'!$F$13&lt;'Your debts'!$F$12),AQ121,0)+IF(AND('Your debts'!$F$14&lt;&gt;"",'Your debts'!$F$12&lt;&gt;"",'Your debts'!$F$14&lt;'Your debts'!$F$12),AV121,0)+IF(AND('Your debts'!$F$15&lt;&gt;"",'Your debts'!$F$12&lt;&gt;"",'Your debts'!$F$15&lt;'Your debts'!$F$12),BA121,0)))))</f>
        <v/>
      </c>
      <c r="AN121" s="33">
        <f>AL121-AM121</f>
        <v/>
      </c>
      <c r="AO121" s="33">
        <f>IF(AS120&lt;=0,0,ROUND(AS120*(1+'Your debts'!$D$13/1200),2))</f>
        <v/>
      </c>
      <c r="AP121" s="33">
        <f>IF(AO121&lt;=0,0,MIN('Your debts'!$E$13,AO121))</f>
        <v/>
      </c>
      <c r="AQ121" s="33">
        <f>AO121-AP121</f>
        <v/>
      </c>
      <c r="AR121" s="33">
        <f>IF('Your debts'!$F$13="",0,MIN(AQ121,MAX(0,MAX(0,'Your debts'!$C$19-(G121+L121+Q121+V121+AA121+AF121+AK121+AP121+AU121+AZ121))-(IF(AND('Your debts'!$F$6&lt;&gt;"",'Your debts'!$F$13&lt;&gt;"",'Your debts'!$F$6&lt;'Your debts'!$F$13),H121,0)+IF(AND('Your debts'!$F$7&lt;&gt;"",'Your debts'!$F$13&lt;&gt;"",'Your debts'!$F$7&lt;'Your debts'!$F$13),M121,0)+IF(AND('Your debts'!$F$8&lt;&gt;"",'Your debts'!$F$13&lt;&gt;"",'Your debts'!$F$8&lt;'Your debts'!$F$13),R121,0)+IF(AND('Your debts'!$F$9&lt;&gt;"",'Your debts'!$F$13&lt;&gt;"",'Your debts'!$F$9&lt;'Your debts'!$F$13),W121,0)+IF(AND('Your debts'!$F$10&lt;&gt;"",'Your debts'!$F$13&lt;&gt;"",'Your debts'!$F$10&lt;'Your debts'!$F$13),AB121,0)+IF(AND('Your debts'!$F$11&lt;&gt;"",'Your debts'!$F$13&lt;&gt;"",'Your debts'!$F$11&lt;'Your debts'!$F$13),AG121,0)+IF(AND('Your debts'!$F$12&lt;&gt;"",'Your debts'!$F$13&lt;&gt;"",'Your debts'!$F$12&lt;'Your debts'!$F$13),AL121,0)+IF(AND('Your debts'!$F$14&lt;&gt;"",'Your debts'!$F$13&lt;&gt;"",'Your debts'!$F$14&lt;'Your debts'!$F$13),AV121,0)+IF(AND('Your debts'!$F$15&lt;&gt;"",'Your debts'!$F$13&lt;&gt;"",'Your debts'!$F$15&lt;'Your debts'!$F$13),BA121,0)))))</f>
        <v/>
      </c>
      <c r="AS121" s="33">
        <f>AQ121-AR121</f>
        <v/>
      </c>
      <c r="AT121" s="33">
        <f>IF(AX120&lt;=0,0,ROUND(AX120*(1+'Your debts'!$D$14/1200),2))</f>
        <v/>
      </c>
      <c r="AU121" s="33">
        <f>IF(AT121&lt;=0,0,MIN('Your debts'!$E$14,AT121))</f>
        <v/>
      </c>
      <c r="AV121" s="33">
        <f>AT121-AU121</f>
        <v/>
      </c>
      <c r="AW121" s="33">
        <f>IF('Your debts'!$F$14="",0,MIN(AV121,MAX(0,MAX(0,'Your debts'!$C$19-(G121+L121+Q121+V121+AA121+AF121+AK121+AP121+AU121+AZ121))-(IF(AND('Your debts'!$F$6&lt;&gt;"",'Your debts'!$F$14&lt;&gt;"",'Your debts'!$F$6&lt;'Your debts'!$F$14),H121,0)+IF(AND('Your debts'!$F$7&lt;&gt;"",'Your debts'!$F$14&lt;&gt;"",'Your debts'!$F$7&lt;'Your debts'!$F$14),M121,0)+IF(AND('Your debts'!$F$8&lt;&gt;"",'Your debts'!$F$14&lt;&gt;"",'Your debts'!$F$8&lt;'Your debts'!$F$14),R121,0)+IF(AND('Your debts'!$F$9&lt;&gt;"",'Your debts'!$F$14&lt;&gt;"",'Your debts'!$F$9&lt;'Your debts'!$F$14),W121,0)+IF(AND('Your debts'!$F$10&lt;&gt;"",'Your debts'!$F$14&lt;&gt;"",'Your debts'!$F$10&lt;'Your debts'!$F$14),AB121,0)+IF(AND('Your debts'!$F$11&lt;&gt;"",'Your debts'!$F$14&lt;&gt;"",'Your debts'!$F$11&lt;'Your debts'!$F$14),AG121,0)+IF(AND('Your debts'!$F$12&lt;&gt;"",'Your debts'!$F$14&lt;&gt;"",'Your debts'!$F$12&lt;'Your debts'!$F$14),AL121,0)+IF(AND('Your debts'!$F$13&lt;&gt;"",'Your debts'!$F$14&lt;&gt;"",'Your debts'!$F$13&lt;'Your debts'!$F$14),AQ121,0)+IF(AND('Your debts'!$F$15&lt;&gt;"",'Your debts'!$F$14&lt;&gt;"",'Your debts'!$F$15&lt;'Your debts'!$F$14),BA121,0)))))</f>
        <v/>
      </c>
      <c r="AX121" s="33">
        <f>AV121-AW121</f>
        <v/>
      </c>
      <c r="AY121" s="33">
        <f>IF(BC120&lt;=0,0,ROUND(BC120*(1+'Your debts'!$D$15/1200),2))</f>
        <v/>
      </c>
      <c r="AZ121" s="33">
        <f>IF(AY121&lt;=0,0,MIN('Your debts'!$E$15,AY121))</f>
        <v/>
      </c>
      <c r="BA121" s="33">
        <f>AY121-AZ121</f>
        <v/>
      </c>
      <c r="BB121" s="33">
        <f>IF('Your debts'!$F$15="",0,MIN(BA121,MAX(0,MAX(0,'Your debts'!$C$19-(G121+L121+Q121+V121+AA121+AF121+AK121+AP121+AU121+AZ121))-(IF(AND('Your debts'!$F$6&lt;&gt;"",'Your debts'!$F$15&lt;&gt;"",'Your debts'!$F$6&lt;'Your debts'!$F$15),H121,0)+IF(AND('Your debts'!$F$7&lt;&gt;"",'Your debts'!$F$15&lt;&gt;"",'Your debts'!$F$7&lt;'Your debts'!$F$15),M121,0)+IF(AND('Your debts'!$F$8&lt;&gt;"",'Your debts'!$F$15&lt;&gt;"",'Your debts'!$F$8&lt;'Your debts'!$F$15),R121,0)+IF(AND('Your debts'!$F$9&lt;&gt;"",'Your debts'!$F$15&lt;&gt;"",'Your debts'!$F$9&lt;'Your debts'!$F$15),W121,0)+IF(AND('Your debts'!$F$10&lt;&gt;"",'Your debts'!$F$15&lt;&gt;"",'Your debts'!$F$10&lt;'Your debts'!$F$15),AB121,0)+IF(AND('Your debts'!$F$11&lt;&gt;"",'Your debts'!$F$15&lt;&gt;"",'Your debts'!$F$11&lt;'Your debts'!$F$15),AG121,0)+IF(AND('Your debts'!$F$12&lt;&gt;"",'Your debts'!$F$15&lt;&gt;"",'Your debts'!$F$12&lt;'Your debts'!$F$15),AL121,0)+IF(AND('Your debts'!$F$13&lt;&gt;"",'Your debts'!$F$15&lt;&gt;"",'Your debts'!$F$13&lt;'Your debts'!$F$15),AQ121,0)+IF(AND('Your debts'!$F$14&lt;&gt;"",'Your debts'!$F$15&lt;&gt;"",'Your debts'!$F$14&lt;'Your debts'!$F$15),AV121,0)))))</f>
        <v/>
      </c>
      <c r="BC121" s="33">
        <f>BA121-BB121</f>
        <v/>
      </c>
    </row>
    <row r="122">
      <c r="A122" s="30" t="n">
        <v>107</v>
      </c>
      <c r="B122" s="31">
        <f>EDATE($B$15,107)</f>
        <v/>
      </c>
      <c r="C122" s="32">
        <f>IF(J121&lt;=0,0,F122-J121)+IF(O121&lt;=0,0,K122-O121)+IF(T121&lt;=0,0,P122-T121)+IF(Y121&lt;=0,0,U122-Y121)+IF(AD121&lt;=0,0,Z122-AD121)+IF(AI121&lt;=0,0,AE122-AI121)+IF(AN121&lt;=0,0,AJ122-AN121)+IF(AS121&lt;=0,0,AO122-AS121)+IF(AX121&lt;=0,0,AT122-AX121)+IF(BC121&lt;=0,0,AY122-BC121)</f>
        <v/>
      </c>
      <c r="D122" s="32">
        <f>G122+I122+L122+N122+Q122+S122+V122+X122+AA122+AC122+AF122+AH122+AK122+AM122+AP122+AR122+AU122+AW122+AZ122+BB122</f>
        <v/>
      </c>
      <c r="E122" s="32">
        <f>J122+O122+T122+Y122+AD122+AI122+AN122+AS122+AX122+BC122</f>
        <v/>
      </c>
      <c r="F122" s="33">
        <f>IF(J121&lt;=0,0,ROUND(J121*(1+'Your debts'!$D$6/1200),2))</f>
        <v/>
      </c>
      <c r="G122" s="33">
        <f>IF(F122&lt;=0,0,MIN('Your debts'!$E$6,F122))</f>
        <v/>
      </c>
      <c r="H122" s="33">
        <f>F122-G122</f>
        <v/>
      </c>
      <c r="I122" s="33">
        <f>IF('Your debts'!$F$6="",0,MIN(H122,MAX(0,MAX(0,'Your debts'!$C$19-(G122+L122+Q122+V122+AA122+AF122+AK122+AP122+AU122+AZ122))-(IF(AND('Your debts'!$F$7&lt;&gt;"",'Your debts'!$F$6&lt;&gt;"",'Your debts'!$F$7&lt;'Your debts'!$F$6),M122,0)+IF(AND('Your debts'!$F$8&lt;&gt;"",'Your debts'!$F$6&lt;&gt;"",'Your debts'!$F$8&lt;'Your debts'!$F$6),R122,0)+IF(AND('Your debts'!$F$9&lt;&gt;"",'Your debts'!$F$6&lt;&gt;"",'Your debts'!$F$9&lt;'Your debts'!$F$6),W122,0)+IF(AND('Your debts'!$F$10&lt;&gt;"",'Your debts'!$F$6&lt;&gt;"",'Your debts'!$F$10&lt;'Your debts'!$F$6),AB122,0)+IF(AND('Your debts'!$F$11&lt;&gt;"",'Your debts'!$F$6&lt;&gt;"",'Your debts'!$F$11&lt;'Your debts'!$F$6),AG122,0)+IF(AND('Your debts'!$F$12&lt;&gt;"",'Your debts'!$F$6&lt;&gt;"",'Your debts'!$F$12&lt;'Your debts'!$F$6),AL122,0)+IF(AND('Your debts'!$F$13&lt;&gt;"",'Your debts'!$F$6&lt;&gt;"",'Your debts'!$F$13&lt;'Your debts'!$F$6),AQ122,0)+IF(AND('Your debts'!$F$14&lt;&gt;"",'Your debts'!$F$6&lt;&gt;"",'Your debts'!$F$14&lt;'Your debts'!$F$6),AV122,0)+IF(AND('Your debts'!$F$15&lt;&gt;"",'Your debts'!$F$6&lt;&gt;"",'Your debts'!$F$15&lt;'Your debts'!$F$6),BA122,0)))))</f>
        <v/>
      </c>
      <c r="J122" s="33">
        <f>H122-I122</f>
        <v/>
      </c>
      <c r="K122" s="33">
        <f>IF(O121&lt;=0,0,ROUND(O121*(1+'Your debts'!$D$7/1200),2))</f>
        <v/>
      </c>
      <c r="L122" s="33">
        <f>IF(K122&lt;=0,0,MIN('Your debts'!$E$7,K122))</f>
        <v/>
      </c>
      <c r="M122" s="33">
        <f>K122-L122</f>
        <v/>
      </c>
      <c r="N122" s="33">
        <f>IF('Your debts'!$F$7="",0,MIN(M122,MAX(0,MAX(0,'Your debts'!$C$19-(G122+L122+Q122+V122+AA122+AF122+AK122+AP122+AU122+AZ122))-(IF(AND('Your debts'!$F$6&lt;&gt;"",'Your debts'!$F$7&lt;&gt;"",'Your debts'!$F$6&lt;'Your debts'!$F$7),H122,0)+IF(AND('Your debts'!$F$8&lt;&gt;"",'Your debts'!$F$7&lt;&gt;"",'Your debts'!$F$8&lt;'Your debts'!$F$7),R122,0)+IF(AND('Your debts'!$F$9&lt;&gt;"",'Your debts'!$F$7&lt;&gt;"",'Your debts'!$F$9&lt;'Your debts'!$F$7),W122,0)+IF(AND('Your debts'!$F$10&lt;&gt;"",'Your debts'!$F$7&lt;&gt;"",'Your debts'!$F$10&lt;'Your debts'!$F$7),AB122,0)+IF(AND('Your debts'!$F$11&lt;&gt;"",'Your debts'!$F$7&lt;&gt;"",'Your debts'!$F$11&lt;'Your debts'!$F$7),AG122,0)+IF(AND('Your debts'!$F$12&lt;&gt;"",'Your debts'!$F$7&lt;&gt;"",'Your debts'!$F$12&lt;'Your debts'!$F$7),AL122,0)+IF(AND('Your debts'!$F$13&lt;&gt;"",'Your debts'!$F$7&lt;&gt;"",'Your debts'!$F$13&lt;'Your debts'!$F$7),AQ122,0)+IF(AND('Your debts'!$F$14&lt;&gt;"",'Your debts'!$F$7&lt;&gt;"",'Your debts'!$F$14&lt;'Your debts'!$F$7),AV122,0)+IF(AND('Your debts'!$F$15&lt;&gt;"",'Your debts'!$F$7&lt;&gt;"",'Your debts'!$F$15&lt;'Your debts'!$F$7),BA122,0)))))</f>
        <v/>
      </c>
      <c r="O122" s="33">
        <f>M122-N122</f>
        <v/>
      </c>
      <c r="P122" s="33">
        <f>IF(T121&lt;=0,0,ROUND(T121*(1+'Your debts'!$D$8/1200),2))</f>
        <v/>
      </c>
      <c r="Q122" s="33">
        <f>IF(P122&lt;=0,0,MIN('Your debts'!$E$8,P122))</f>
        <v/>
      </c>
      <c r="R122" s="33">
        <f>P122-Q122</f>
        <v/>
      </c>
      <c r="S122" s="33">
        <f>IF('Your debts'!$F$8="",0,MIN(R122,MAX(0,MAX(0,'Your debts'!$C$19-(G122+L122+Q122+V122+AA122+AF122+AK122+AP122+AU122+AZ122))-(IF(AND('Your debts'!$F$6&lt;&gt;"",'Your debts'!$F$8&lt;&gt;"",'Your debts'!$F$6&lt;'Your debts'!$F$8),H122,0)+IF(AND('Your debts'!$F$7&lt;&gt;"",'Your debts'!$F$8&lt;&gt;"",'Your debts'!$F$7&lt;'Your debts'!$F$8),M122,0)+IF(AND('Your debts'!$F$9&lt;&gt;"",'Your debts'!$F$8&lt;&gt;"",'Your debts'!$F$9&lt;'Your debts'!$F$8),W122,0)+IF(AND('Your debts'!$F$10&lt;&gt;"",'Your debts'!$F$8&lt;&gt;"",'Your debts'!$F$10&lt;'Your debts'!$F$8),AB122,0)+IF(AND('Your debts'!$F$11&lt;&gt;"",'Your debts'!$F$8&lt;&gt;"",'Your debts'!$F$11&lt;'Your debts'!$F$8),AG122,0)+IF(AND('Your debts'!$F$12&lt;&gt;"",'Your debts'!$F$8&lt;&gt;"",'Your debts'!$F$12&lt;'Your debts'!$F$8),AL122,0)+IF(AND('Your debts'!$F$13&lt;&gt;"",'Your debts'!$F$8&lt;&gt;"",'Your debts'!$F$13&lt;'Your debts'!$F$8),AQ122,0)+IF(AND('Your debts'!$F$14&lt;&gt;"",'Your debts'!$F$8&lt;&gt;"",'Your debts'!$F$14&lt;'Your debts'!$F$8),AV122,0)+IF(AND('Your debts'!$F$15&lt;&gt;"",'Your debts'!$F$8&lt;&gt;"",'Your debts'!$F$15&lt;'Your debts'!$F$8),BA122,0)))))</f>
        <v/>
      </c>
      <c r="T122" s="33">
        <f>R122-S122</f>
        <v/>
      </c>
      <c r="U122" s="33">
        <f>IF(Y121&lt;=0,0,ROUND(Y121*(1+'Your debts'!$D$9/1200),2))</f>
        <v/>
      </c>
      <c r="V122" s="33">
        <f>IF(U122&lt;=0,0,MIN('Your debts'!$E$9,U122))</f>
        <v/>
      </c>
      <c r="W122" s="33">
        <f>U122-V122</f>
        <v/>
      </c>
      <c r="X122" s="33">
        <f>IF('Your debts'!$F$9="",0,MIN(W122,MAX(0,MAX(0,'Your debts'!$C$19-(G122+L122+Q122+V122+AA122+AF122+AK122+AP122+AU122+AZ122))-(IF(AND('Your debts'!$F$6&lt;&gt;"",'Your debts'!$F$9&lt;&gt;"",'Your debts'!$F$6&lt;'Your debts'!$F$9),H122,0)+IF(AND('Your debts'!$F$7&lt;&gt;"",'Your debts'!$F$9&lt;&gt;"",'Your debts'!$F$7&lt;'Your debts'!$F$9),M122,0)+IF(AND('Your debts'!$F$8&lt;&gt;"",'Your debts'!$F$9&lt;&gt;"",'Your debts'!$F$8&lt;'Your debts'!$F$9),R122,0)+IF(AND('Your debts'!$F$10&lt;&gt;"",'Your debts'!$F$9&lt;&gt;"",'Your debts'!$F$10&lt;'Your debts'!$F$9),AB122,0)+IF(AND('Your debts'!$F$11&lt;&gt;"",'Your debts'!$F$9&lt;&gt;"",'Your debts'!$F$11&lt;'Your debts'!$F$9),AG122,0)+IF(AND('Your debts'!$F$12&lt;&gt;"",'Your debts'!$F$9&lt;&gt;"",'Your debts'!$F$12&lt;'Your debts'!$F$9),AL122,0)+IF(AND('Your debts'!$F$13&lt;&gt;"",'Your debts'!$F$9&lt;&gt;"",'Your debts'!$F$13&lt;'Your debts'!$F$9),AQ122,0)+IF(AND('Your debts'!$F$14&lt;&gt;"",'Your debts'!$F$9&lt;&gt;"",'Your debts'!$F$14&lt;'Your debts'!$F$9),AV122,0)+IF(AND('Your debts'!$F$15&lt;&gt;"",'Your debts'!$F$9&lt;&gt;"",'Your debts'!$F$15&lt;'Your debts'!$F$9),BA122,0)))))</f>
        <v/>
      </c>
      <c r="Y122" s="33">
        <f>W122-X122</f>
        <v/>
      </c>
      <c r="Z122" s="33">
        <f>IF(AD121&lt;=0,0,ROUND(AD121*(1+'Your debts'!$D$10/1200),2))</f>
        <v/>
      </c>
      <c r="AA122" s="33">
        <f>IF(Z122&lt;=0,0,MIN('Your debts'!$E$10,Z122))</f>
        <v/>
      </c>
      <c r="AB122" s="33">
        <f>Z122-AA122</f>
        <v/>
      </c>
      <c r="AC122" s="33">
        <f>IF('Your debts'!$F$10="",0,MIN(AB122,MAX(0,MAX(0,'Your debts'!$C$19-(G122+L122+Q122+V122+AA122+AF122+AK122+AP122+AU122+AZ122))-(IF(AND('Your debts'!$F$6&lt;&gt;"",'Your debts'!$F$10&lt;&gt;"",'Your debts'!$F$6&lt;'Your debts'!$F$10),H122,0)+IF(AND('Your debts'!$F$7&lt;&gt;"",'Your debts'!$F$10&lt;&gt;"",'Your debts'!$F$7&lt;'Your debts'!$F$10),M122,0)+IF(AND('Your debts'!$F$8&lt;&gt;"",'Your debts'!$F$10&lt;&gt;"",'Your debts'!$F$8&lt;'Your debts'!$F$10),R122,0)+IF(AND('Your debts'!$F$9&lt;&gt;"",'Your debts'!$F$10&lt;&gt;"",'Your debts'!$F$9&lt;'Your debts'!$F$10),W122,0)+IF(AND('Your debts'!$F$11&lt;&gt;"",'Your debts'!$F$10&lt;&gt;"",'Your debts'!$F$11&lt;'Your debts'!$F$10),AG122,0)+IF(AND('Your debts'!$F$12&lt;&gt;"",'Your debts'!$F$10&lt;&gt;"",'Your debts'!$F$12&lt;'Your debts'!$F$10),AL122,0)+IF(AND('Your debts'!$F$13&lt;&gt;"",'Your debts'!$F$10&lt;&gt;"",'Your debts'!$F$13&lt;'Your debts'!$F$10),AQ122,0)+IF(AND('Your debts'!$F$14&lt;&gt;"",'Your debts'!$F$10&lt;&gt;"",'Your debts'!$F$14&lt;'Your debts'!$F$10),AV122,0)+IF(AND('Your debts'!$F$15&lt;&gt;"",'Your debts'!$F$10&lt;&gt;"",'Your debts'!$F$15&lt;'Your debts'!$F$10),BA122,0)))))</f>
        <v/>
      </c>
      <c r="AD122" s="33">
        <f>AB122-AC122</f>
        <v/>
      </c>
      <c r="AE122" s="33">
        <f>IF(AI121&lt;=0,0,ROUND(AI121*(1+'Your debts'!$D$11/1200),2))</f>
        <v/>
      </c>
      <c r="AF122" s="33">
        <f>IF(AE122&lt;=0,0,MIN('Your debts'!$E$11,AE122))</f>
        <v/>
      </c>
      <c r="AG122" s="33">
        <f>AE122-AF122</f>
        <v/>
      </c>
      <c r="AH122" s="33">
        <f>IF('Your debts'!$F$11="",0,MIN(AG122,MAX(0,MAX(0,'Your debts'!$C$19-(G122+L122+Q122+V122+AA122+AF122+AK122+AP122+AU122+AZ122))-(IF(AND('Your debts'!$F$6&lt;&gt;"",'Your debts'!$F$11&lt;&gt;"",'Your debts'!$F$6&lt;'Your debts'!$F$11),H122,0)+IF(AND('Your debts'!$F$7&lt;&gt;"",'Your debts'!$F$11&lt;&gt;"",'Your debts'!$F$7&lt;'Your debts'!$F$11),M122,0)+IF(AND('Your debts'!$F$8&lt;&gt;"",'Your debts'!$F$11&lt;&gt;"",'Your debts'!$F$8&lt;'Your debts'!$F$11),R122,0)+IF(AND('Your debts'!$F$9&lt;&gt;"",'Your debts'!$F$11&lt;&gt;"",'Your debts'!$F$9&lt;'Your debts'!$F$11),W122,0)+IF(AND('Your debts'!$F$10&lt;&gt;"",'Your debts'!$F$11&lt;&gt;"",'Your debts'!$F$10&lt;'Your debts'!$F$11),AB122,0)+IF(AND('Your debts'!$F$12&lt;&gt;"",'Your debts'!$F$11&lt;&gt;"",'Your debts'!$F$12&lt;'Your debts'!$F$11),AL122,0)+IF(AND('Your debts'!$F$13&lt;&gt;"",'Your debts'!$F$11&lt;&gt;"",'Your debts'!$F$13&lt;'Your debts'!$F$11),AQ122,0)+IF(AND('Your debts'!$F$14&lt;&gt;"",'Your debts'!$F$11&lt;&gt;"",'Your debts'!$F$14&lt;'Your debts'!$F$11),AV122,0)+IF(AND('Your debts'!$F$15&lt;&gt;"",'Your debts'!$F$11&lt;&gt;"",'Your debts'!$F$15&lt;'Your debts'!$F$11),BA122,0)))))</f>
        <v/>
      </c>
      <c r="AI122" s="33">
        <f>AG122-AH122</f>
        <v/>
      </c>
      <c r="AJ122" s="33">
        <f>IF(AN121&lt;=0,0,ROUND(AN121*(1+'Your debts'!$D$12/1200),2))</f>
        <v/>
      </c>
      <c r="AK122" s="33">
        <f>IF(AJ122&lt;=0,0,MIN('Your debts'!$E$12,AJ122))</f>
        <v/>
      </c>
      <c r="AL122" s="33">
        <f>AJ122-AK122</f>
        <v/>
      </c>
      <c r="AM122" s="33">
        <f>IF('Your debts'!$F$12="",0,MIN(AL122,MAX(0,MAX(0,'Your debts'!$C$19-(G122+L122+Q122+V122+AA122+AF122+AK122+AP122+AU122+AZ122))-(IF(AND('Your debts'!$F$6&lt;&gt;"",'Your debts'!$F$12&lt;&gt;"",'Your debts'!$F$6&lt;'Your debts'!$F$12),H122,0)+IF(AND('Your debts'!$F$7&lt;&gt;"",'Your debts'!$F$12&lt;&gt;"",'Your debts'!$F$7&lt;'Your debts'!$F$12),M122,0)+IF(AND('Your debts'!$F$8&lt;&gt;"",'Your debts'!$F$12&lt;&gt;"",'Your debts'!$F$8&lt;'Your debts'!$F$12),R122,0)+IF(AND('Your debts'!$F$9&lt;&gt;"",'Your debts'!$F$12&lt;&gt;"",'Your debts'!$F$9&lt;'Your debts'!$F$12),W122,0)+IF(AND('Your debts'!$F$10&lt;&gt;"",'Your debts'!$F$12&lt;&gt;"",'Your debts'!$F$10&lt;'Your debts'!$F$12),AB122,0)+IF(AND('Your debts'!$F$11&lt;&gt;"",'Your debts'!$F$12&lt;&gt;"",'Your debts'!$F$11&lt;'Your debts'!$F$12),AG122,0)+IF(AND('Your debts'!$F$13&lt;&gt;"",'Your debts'!$F$12&lt;&gt;"",'Your debts'!$F$13&lt;'Your debts'!$F$12),AQ122,0)+IF(AND('Your debts'!$F$14&lt;&gt;"",'Your debts'!$F$12&lt;&gt;"",'Your debts'!$F$14&lt;'Your debts'!$F$12),AV122,0)+IF(AND('Your debts'!$F$15&lt;&gt;"",'Your debts'!$F$12&lt;&gt;"",'Your debts'!$F$15&lt;'Your debts'!$F$12),BA122,0)))))</f>
        <v/>
      </c>
      <c r="AN122" s="33">
        <f>AL122-AM122</f>
        <v/>
      </c>
      <c r="AO122" s="33">
        <f>IF(AS121&lt;=0,0,ROUND(AS121*(1+'Your debts'!$D$13/1200),2))</f>
        <v/>
      </c>
      <c r="AP122" s="33">
        <f>IF(AO122&lt;=0,0,MIN('Your debts'!$E$13,AO122))</f>
        <v/>
      </c>
      <c r="AQ122" s="33">
        <f>AO122-AP122</f>
        <v/>
      </c>
      <c r="AR122" s="33">
        <f>IF('Your debts'!$F$13="",0,MIN(AQ122,MAX(0,MAX(0,'Your debts'!$C$19-(G122+L122+Q122+V122+AA122+AF122+AK122+AP122+AU122+AZ122))-(IF(AND('Your debts'!$F$6&lt;&gt;"",'Your debts'!$F$13&lt;&gt;"",'Your debts'!$F$6&lt;'Your debts'!$F$13),H122,0)+IF(AND('Your debts'!$F$7&lt;&gt;"",'Your debts'!$F$13&lt;&gt;"",'Your debts'!$F$7&lt;'Your debts'!$F$13),M122,0)+IF(AND('Your debts'!$F$8&lt;&gt;"",'Your debts'!$F$13&lt;&gt;"",'Your debts'!$F$8&lt;'Your debts'!$F$13),R122,0)+IF(AND('Your debts'!$F$9&lt;&gt;"",'Your debts'!$F$13&lt;&gt;"",'Your debts'!$F$9&lt;'Your debts'!$F$13),W122,0)+IF(AND('Your debts'!$F$10&lt;&gt;"",'Your debts'!$F$13&lt;&gt;"",'Your debts'!$F$10&lt;'Your debts'!$F$13),AB122,0)+IF(AND('Your debts'!$F$11&lt;&gt;"",'Your debts'!$F$13&lt;&gt;"",'Your debts'!$F$11&lt;'Your debts'!$F$13),AG122,0)+IF(AND('Your debts'!$F$12&lt;&gt;"",'Your debts'!$F$13&lt;&gt;"",'Your debts'!$F$12&lt;'Your debts'!$F$13),AL122,0)+IF(AND('Your debts'!$F$14&lt;&gt;"",'Your debts'!$F$13&lt;&gt;"",'Your debts'!$F$14&lt;'Your debts'!$F$13),AV122,0)+IF(AND('Your debts'!$F$15&lt;&gt;"",'Your debts'!$F$13&lt;&gt;"",'Your debts'!$F$15&lt;'Your debts'!$F$13),BA122,0)))))</f>
        <v/>
      </c>
      <c r="AS122" s="33">
        <f>AQ122-AR122</f>
        <v/>
      </c>
      <c r="AT122" s="33">
        <f>IF(AX121&lt;=0,0,ROUND(AX121*(1+'Your debts'!$D$14/1200),2))</f>
        <v/>
      </c>
      <c r="AU122" s="33">
        <f>IF(AT122&lt;=0,0,MIN('Your debts'!$E$14,AT122))</f>
        <v/>
      </c>
      <c r="AV122" s="33">
        <f>AT122-AU122</f>
        <v/>
      </c>
      <c r="AW122" s="33">
        <f>IF('Your debts'!$F$14="",0,MIN(AV122,MAX(0,MAX(0,'Your debts'!$C$19-(G122+L122+Q122+V122+AA122+AF122+AK122+AP122+AU122+AZ122))-(IF(AND('Your debts'!$F$6&lt;&gt;"",'Your debts'!$F$14&lt;&gt;"",'Your debts'!$F$6&lt;'Your debts'!$F$14),H122,0)+IF(AND('Your debts'!$F$7&lt;&gt;"",'Your debts'!$F$14&lt;&gt;"",'Your debts'!$F$7&lt;'Your debts'!$F$14),M122,0)+IF(AND('Your debts'!$F$8&lt;&gt;"",'Your debts'!$F$14&lt;&gt;"",'Your debts'!$F$8&lt;'Your debts'!$F$14),R122,0)+IF(AND('Your debts'!$F$9&lt;&gt;"",'Your debts'!$F$14&lt;&gt;"",'Your debts'!$F$9&lt;'Your debts'!$F$14),W122,0)+IF(AND('Your debts'!$F$10&lt;&gt;"",'Your debts'!$F$14&lt;&gt;"",'Your debts'!$F$10&lt;'Your debts'!$F$14),AB122,0)+IF(AND('Your debts'!$F$11&lt;&gt;"",'Your debts'!$F$14&lt;&gt;"",'Your debts'!$F$11&lt;'Your debts'!$F$14),AG122,0)+IF(AND('Your debts'!$F$12&lt;&gt;"",'Your debts'!$F$14&lt;&gt;"",'Your debts'!$F$12&lt;'Your debts'!$F$14),AL122,0)+IF(AND('Your debts'!$F$13&lt;&gt;"",'Your debts'!$F$14&lt;&gt;"",'Your debts'!$F$13&lt;'Your debts'!$F$14),AQ122,0)+IF(AND('Your debts'!$F$15&lt;&gt;"",'Your debts'!$F$14&lt;&gt;"",'Your debts'!$F$15&lt;'Your debts'!$F$14),BA122,0)))))</f>
        <v/>
      </c>
      <c r="AX122" s="33">
        <f>AV122-AW122</f>
        <v/>
      </c>
      <c r="AY122" s="33">
        <f>IF(BC121&lt;=0,0,ROUND(BC121*(1+'Your debts'!$D$15/1200),2))</f>
        <v/>
      </c>
      <c r="AZ122" s="33">
        <f>IF(AY122&lt;=0,0,MIN('Your debts'!$E$15,AY122))</f>
        <v/>
      </c>
      <c r="BA122" s="33">
        <f>AY122-AZ122</f>
        <v/>
      </c>
      <c r="BB122" s="33">
        <f>IF('Your debts'!$F$15="",0,MIN(BA122,MAX(0,MAX(0,'Your debts'!$C$19-(G122+L122+Q122+V122+AA122+AF122+AK122+AP122+AU122+AZ122))-(IF(AND('Your debts'!$F$6&lt;&gt;"",'Your debts'!$F$15&lt;&gt;"",'Your debts'!$F$6&lt;'Your debts'!$F$15),H122,0)+IF(AND('Your debts'!$F$7&lt;&gt;"",'Your debts'!$F$15&lt;&gt;"",'Your debts'!$F$7&lt;'Your debts'!$F$15),M122,0)+IF(AND('Your debts'!$F$8&lt;&gt;"",'Your debts'!$F$15&lt;&gt;"",'Your debts'!$F$8&lt;'Your debts'!$F$15),R122,0)+IF(AND('Your debts'!$F$9&lt;&gt;"",'Your debts'!$F$15&lt;&gt;"",'Your debts'!$F$9&lt;'Your debts'!$F$15),W122,0)+IF(AND('Your debts'!$F$10&lt;&gt;"",'Your debts'!$F$15&lt;&gt;"",'Your debts'!$F$10&lt;'Your debts'!$F$15),AB122,0)+IF(AND('Your debts'!$F$11&lt;&gt;"",'Your debts'!$F$15&lt;&gt;"",'Your debts'!$F$11&lt;'Your debts'!$F$15),AG122,0)+IF(AND('Your debts'!$F$12&lt;&gt;"",'Your debts'!$F$15&lt;&gt;"",'Your debts'!$F$12&lt;'Your debts'!$F$15),AL122,0)+IF(AND('Your debts'!$F$13&lt;&gt;"",'Your debts'!$F$15&lt;&gt;"",'Your debts'!$F$13&lt;'Your debts'!$F$15),AQ122,0)+IF(AND('Your debts'!$F$14&lt;&gt;"",'Your debts'!$F$15&lt;&gt;"",'Your debts'!$F$14&lt;'Your debts'!$F$15),AV122,0)))))</f>
        <v/>
      </c>
      <c r="BC122" s="33">
        <f>BA122-BB122</f>
        <v/>
      </c>
    </row>
    <row r="123">
      <c r="A123" s="30" t="n">
        <v>108</v>
      </c>
      <c r="B123" s="31">
        <f>EDATE($B$15,108)</f>
        <v/>
      </c>
      <c r="C123" s="32">
        <f>IF(J122&lt;=0,0,F123-J122)+IF(O122&lt;=0,0,K123-O122)+IF(T122&lt;=0,0,P123-T122)+IF(Y122&lt;=0,0,U123-Y122)+IF(AD122&lt;=0,0,Z123-AD122)+IF(AI122&lt;=0,0,AE123-AI122)+IF(AN122&lt;=0,0,AJ123-AN122)+IF(AS122&lt;=0,0,AO123-AS122)+IF(AX122&lt;=0,0,AT123-AX122)+IF(BC122&lt;=0,0,AY123-BC122)</f>
        <v/>
      </c>
      <c r="D123" s="32">
        <f>G123+I123+L123+N123+Q123+S123+V123+X123+AA123+AC123+AF123+AH123+AK123+AM123+AP123+AR123+AU123+AW123+AZ123+BB123</f>
        <v/>
      </c>
      <c r="E123" s="32">
        <f>J123+O123+T123+Y123+AD123+AI123+AN123+AS123+AX123+BC123</f>
        <v/>
      </c>
      <c r="F123" s="33">
        <f>IF(J122&lt;=0,0,ROUND(J122*(1+'Your debts'!$D$6/1200),2))</f>
        <v/>
      </c>
      <c r="G123" s="33">
        <f>IF(F123&lt;=0,0,MIN('Your debts'!$E$6,F123))</f>
        <v/>
      </c>
      <c r="H123" s="33">
        <f>F123-G123</f>
        <v/>
      </c>
      <c r="I123" s="33">
        <f>IF('Your debts'!$F$6="",0,MIN(H123,MAX(0,MAX(0,'Your debts'!$C$19-(G123+L123+Q123+V123+AA123+AF123+AK123+AP123+AU123+AZ123))-(IF(AND('Your debts'!$F$7&lt;&gt;"",'Your debts'!$F$6&lt;&gt;"",'Your debts'!$F$7&lt;'Your debts'!$F$6),M123,0)+IF(AND('Your debts'!$F$8&lt;&gt;"",'Your debts'!$F$6&lt;&gt;"",'Your debts'!$F$8&lt;'Your debts'!$F$6),R123,0)+IF(AND('Your debts'!$F$9&lt;&gt;"",'Your debts'!$F$6&lt;&gt;"",'Your debts'!$F$9&lt;'Your debts'!$F$6),W123,0)+IF(AND('Your debts'!$F$10&lt;&gt;"",'Your debts'!$F$6&lt;&gt;"",'Your debts'!$F$10&lt;'Your debts'!$F$6),AB123,0)+IF(AND('Your debts'!$F$11&lt;&gt;"",'Your debts'!$F$6&lt;&gt;"",'Your debts'!$F$11&lt;'Your debts'!$F$6),AG123,0)+IF(AND('Your debts'!$F$12&lt;&gt;"",'Your debts'!$F$6&lt;&gt;"",'Your debts'!$F$12&lt;'Your debts'!$F$6),AL123,0)+IF(AND('Your debts'!$F$13&lt;&gt;"",'Your debts'!$F$6&lt;&gt;"",'Your debts'!$F$13&lt;'Your debts'!$F$6),AQ123,0)+IF(AND('Your debts'!$F$14&lt;&gt;"",'Your debts'!$F$6&lt;&gt;"",'Your debts'!$F$14&lt;'Your debts'!$F$6),AV123,0)+IF(AND('Your debts'!$F$15&lt;&gt;"",'Your debts'!$F$6&lt;&gt;"",'Your debts'!$F$15&lt;'Your debts'!$F$6),BA123,0)))))</f>
        <v/>
      </c>
      <c r="J123" s="33">
        <f>H123-I123</f>
        <v/>
      </c>
      <c r="K123" s="33">
        <f>IF(O122&lt;=0,0,ROUND(O122*(1+'Your debts'!$D$7/1200),2))</f>
        <v/>
      </c>
      <c r="L123" s="33">
        <f>IF(K123&lt;=0,0,MIN('Your debts'!$E$7,K123))</f>
        <v/>
      </c>
      <c r="M123" s="33">
        <f>K123-L123</f>
        <v/>
      </c>
      <c r="N123" s="33">
        <f>IF('Your debts'!$F$7="",0,MIN(M123,MAX(0,MAX(0,'Your debts'!$C$19-(G123+L123+Q123+V123+AA123+AF123+AK123+AP123+AU123+AZ123))-(IF(AND('Your debts'!$F$6&lt;&gt;"",'Your debts'!$F$7&lt;&gt;"",'Your debts'!$F$6&lt;'Your debts'!$F$7),H123,0)+IF(AND('Your debts'!$F$8&lt;&gt;"",'Your debts'!$F$7&lt;&gt;"",'Your debts'!$F$8&lt;'Your debts'!$F$7),R123,0)+IF(AND('Your debts'!$F$9&lt;&gt;"",'Your debts'!$F$7&lt;&gt;"",'Your debts'!$F$9&lt;'Your debts'!$F$7),W123,0)+IF(AND('Your debts'!$F$10&lt;&gt;"",'Your debts'!$F$7&lt;&gt;"",'Your debts'!$F$10&lt;'Your debts'!$F$7),AB123,0)+IF(AND('Your debts'!$F$11&lt;&gt;"",'Your debts'!$F$7&lt;&gt;"",'Your debts'!$F$11&lt;'Your debts'!$F$7),AG123,0)+IF(AND('Your debts'!$F$12&lt;&gt;"",'Your debts'!$F$7&lt;&gt;"",'Your debts'!$F$12&lt;'Your debts'!$F$7),AL123,0)+IF(AND('Your debts'!$F$13&lt;&gt;"",'Your debts'!$F$7&lt;&gt;"",'Your debts'!$F$13&lt;'Your debts'!$F$7),AQ123,0)+IF(AND('Your debts'!$F$14&lt;&gt;"",'Your debts'!$F$7&lt;&gt;"",'Your debts'!$F$14&lt;'Your debts'!$F$7),AV123,0)+IF(AND('Your debts'!$F$15&lt;&gt;"",'Your debts'!$F$7&lt;&gt;"",'Your debts'!$F$15&lt;'Your debts'!$F$7),BA123,0)))))</f>
        <v/>
      </c>
      <c r="O123" s="33">
        <f>M123-N123</f>
        <v/>
      </c>
      <c r="P123" s="33">
        <f>IF(T122&lt;=0,0,ROUND(T122*(1+'Your debts'!$D$8/1200),2))</f>
        <v/>
      </c>
      <c r="Q123" s="33">
        <f>IF(P123&lt;=0,0,MIN('Your debts'!$E$8,P123))</f>
        <v/>
      </c>
      <c r="R123" s="33">
        <f>P123-Q123</f>
        <v/>
      </c>
      <c r="S123" s="33">
        <f>IF('Your debts'!$F$8="",0,MIN(R123,MAX(0,MAX(0,'Your debts'!$C$19-(G123+L123+Q123+V123+AA123+AF123+AK123+AP123+AU123+AZ123))-(IF(AND('Your debts'!$F$6&lt;&gt;"",'Your debts'!$F$8&lt;&gt;"",'Your debts'!$F$6&lt;'Your debts'!$F$8),H123,0)+IF(AND('Your debts'!$F$7&lt;&gt;"",'Your debts'!$F$8&lt;&gt;"",'Your debts'!$F$7&lt;'Your debts'!$F$8),M123,0)+IF(AND('Your debts'!$F$9&lt;&gt;"",'Your debts'!$F$8&lt;&gt;"",'Your debts'!$F$9&lt;'Your debts'!$F$8),W123,0)+IF(AND('Your debts'!$F$10&lt;&gt;"",'Your debts'!$F$8&lt;&gt;"",'Your debts'!$F$10&lt;'Your debts'!$F$8),AB123,0)+IF(AND('Your debts'!$F$11&lt;&gt;"",'Your debts'!$F$8&lt;&gt;"",'Your debts'!$F$11&lt;'Your debts'!$F$8),AG123,0)+IF(AND('Your debts'!$F$12&lt;&gt;"",'Your debts'!$F$8&lt;&gt;"",'Your debts'!$F$12&lt;'Your debts'!$F$8),AL123,0)+IF(AND('Your debts'!$F$13&lt;&gt;"",'Your debts'!$F$8&lt;&gt;"",'Your debts'!$F$13&lt;'Your debts'!$F$8),AQ123,0)+IF(AND('Your debts'!$F$14&lt;&gt;"",'Your debts'!$F$8&lt;&gt;"",'Your debts'!$F$14&lt;'Your debts'!$F$8),AV123,0)+IF(AND('Your debts'!$F$15&lt;&gt;"",'Your debts'!$F$8&lt;&gt;"",'Your debts'!$F$15&lt;'Your debts'!$F$8),BA123,0)))))</f>
        <v/>
      </c>
      <c r="T123" s="33">
        <f>R123-S123</f>
        <v/>
      </c>
      <c r="U123" s="33">
        <f>IF(Y122&lt;=0,0,ROUND(Y122*(1+'Your debts'!$D$9/1200),2))</f>
        <v/>
      </c>
      <c r="V123" s="33">
        <f>IF(U123&lt;=0,0,MIN('Your debts'!$E$9,U123))</f>
        <v/>
      </c>
      <c r="W123" s="33">
        <f>U123-V123</f>
        <v/>
      </c>
      <c r="X123" s="33">
        <f>IF('Your debts'!$F$9="",0,MIN(W123,MAX(0,MAX(0,'Your debts'!$C$19-(G123+L123+Q123+V123+AA123+AF123+AK123+AP123+AU123+AZ123))-(IF(AND('Your debts'!$F$6&lt;&gt;"",'Your debts'!$F$9&lt;&gt;"",'Your debts'!$F$6&lt;'Your debts'!$F$9),H123,0)+IF(AND('Your debts'!$F$7&lt;&gt;"",'Your debts'!$F$9&lt;&gt;"",'Your debts'!$F$7&lt;'Your debts'!$F$9),M123,0)+IF(AND('Your debts'!$F$8&lt;&gt;"",'Your debts'!$F$9&lt;&gt;"",'Your debts'!$F$8&lt;'Your debts'!$F$9),R123,0)+IF(AND('Your debts'!$F$10&lt;&gt;"",'Your debts'!$F$9&lt;&gt;"",'Your debts'!$F$10&lt;'Your debts'!$F$9),AB123,0)+IF(AND('Your debts'!$F$11&lt;&gt;"",'Your debts'!$F$9&lt;&gt;"",'Your debts'!$F$11&lt;'Your debts'!$F$9),AG123,0)+IF(AND('Your debts'!$F$12&lt;&gt;"",'Your debts'!$F$9&lt;&gt;"",'Your debts'!$F$12&lt;'Your debts'!$F$9),AL123,0)+IF(AND('Your debts'!$F$13&lt;&gt;"",'Your debts'!$F$9&lt;&gt;"",'Your debts'!$F$13&lt;'Your debts'!$F$9),AQ123,0)+IF(AND('Your debts'!$F$14&lt;&gt;"",'Your debts'!$F$9&lt;&gt;"",'Your debts'!$F$14&lt;'Your debts'!$F$9),AV123,0)+IF(AND('Your debts'!$F$15&lt;&gt;"",'Your debts'!$F$9&lt;&gt;"",'Your debts'!$F$15&lt;'Your debts'!$F$9),BA123,0)))))</f>
        <v/>
      </c>
      <c r="Y123" s="33">
        <f>W123-X123</f>
        <v/>
      </c>
      <c r="Z123" s="33">
        <f>IF(AD122&lt;=0,0,ROUND(AD122*(1+'Your debts'!$D$10/1200),2))</f>
        <v/>
      </c>
      <c r="AA123" s="33">
        <f>IF(Z123&lt;=0,0,MIN('Your debts'!$E$10,Z123))</f>
        <v/>
      </c>
      <c r="AB123" s="33">
        <f>Z123-AA123</f>
        <v/>
      </c>
      <c r="AC123" s="33">
        <f>IF('Your debts'!$F$10="",0,MIN(AB123,MAX(0,MAX(0,'Your debts'!$C$19-(G123+L123+Q123+V123+AA123+AF123+AK123+AP123+AU123+AZ123))-(IF(AND('Your debts'!$F$6&lt;&gt;"",'Your debts'!$F$10&lt;&gt;"",'Your debts'!$F$6&lt;'Your debts'!$F$10),H123,0)+IF(AND('Your debts'!$F$7&lt;&gt;"",'Your debts'!$F$10&lt;&gt;"",'Your debts'!$F$7&lt;'Your debts'!$F$10),M123,0)+IF(AND('Your debts'!$F$8&lt;&gt;"",'Your debts'!$F$10&lt;&gt;"",'Your debts'!$F$8&lt;'Your debts'!$F$10),R123,0)+IF(AND('Your debts'!$F$9&lt;&gt;"",'Your debts'!$F$10&lt;&gt;"",'Your debts'!$F$9&lt;'Your debts'!$F$10),W123,0)+IF(AND('Your debts'!$F$11&lt;&gt;"",'Your debts'!$F$10&lt;&gt;"",'Your debts'!$F$11&lt;'Your debts'!$F$10),AG123,0)+IF(AND('Your debts'!$F$12&lt;&gt;"",'Your debts'!$F$10&lt;&gt;"",'Your debts'!$F$12&lt;'Your debts'!$F$10),AL123,0)+IF(AND('Your debts'!$F$13&lt;&gt;"",'Your debts'!$F$10&lt;&gt;"",'Your debts'!$F$13&lt;'Your debts'!$F$10),AQ123,0)+IF(AND('Your debts'!$F$14&lt;&gt;"",'Your debts'!$F$10&lt;&gt;"",'Your debts'!$F$14&lt;'Your debts'!$F$10),AV123,0)+IF(AND('Your debts'!$F$15&lt;&gt;"",'Your debts'!$F$10&lt;&gt;"",'Your debts'!$F$15&lt;'Your debts'!$F$10),BA123,0)))))</f>
        <v/>
      </c>
      <c r="AD123" s="33">
        <f>AB123-AC123</f>
        <v/>
      </c>
      <c r="AE123" s="33">
        <f>IF(AI122&lt;=0,0,ROUND(AI122*(1+'Your debts'!$D$11/1200),2))</f>
        <v/>
      </c>
      <c r="AF123" s="33">
        <f>IF(AE123&lt;=0,0,MIN('Your debts'!$E$11,AE123))</f>
        <v/>
      </c>
      <c r="AG123" s="33">
        <f>AE123-AF123</f>
        <v/>
      </c>
      <c r="AH123" s="33">
        <f>IF('Your debts'!$F$11="",0,MIN(AG123,MAX(0,MAX(0,'Your debts'!$C$19-(G123+L123+Q123+V123+AA123+AF123+AK123+AP123+AU123+AZ123))-(IF(AND('Your debts'!$F$6&lt;&gt;"",'Your debts'!$F$11&lt;&gt;"",'Your debts'!$F$6&lt;'Your debts'!$F$11),H123,0)+IF(AND('Your debts'!$F$7&lt;&gt;"",'Your debts'!$F$11&lt;&gt;"",'Your debts'!$F$7&lt;'Your debts'!$F$11),M123,0)+IF(AND('Your debts'!$F$8&lt;&gt;"",'Your debts'!$F$11&lt;&gt;"",'Your debts'!$F$8&lt;'Your debts'!$F$11),R123,0)+IF(AND('Your debts'!$F$9&lt;&gt;"",'Your debts'!$F$11&lt;&gt;"",'Your debts'!$F$9&lt;'Your debts'!$F$11),W123,0)+IF(AND('Your debts'!$F$10&lt;&gt;"",'Your debts'!$F$11&lt;&gt;"",'Your debts'!$F$10&lt;'Your debts'!$F$11),AB123,0)+IF(AND('Your debts'!$F$12&lt;&gt;"",'Your debts'!$F$11&lt;&gt;"",'Your debts'!$F$12&lt;'Your debts'!$F$11),AL123,0)+IF(AND('Your debts'!$F$13&lt;&gt;"",'Your debts'!$F$11&lt;&gt;"",'Your debts'!$F$13&lt;'Your debts'!$F$11),AQ123,0)+IF(AND('Your debts'!$F$14&lt;&gt;"",'Your debts'!$F$11&lt;&gt;"",'Your debts'!$F$14&lt;'Your debts'!$F$11),AV123,0)+IF(AND('Your debts'!$F$15&lt;&gt;"",'Your debts'!$F$11&lt;&gt;"",'Your debts'!$F$15&lt;'Your debts'!$F$11),BA123,0)))))</f>
        <v/>
      </c>
      <c r="AI123" s="33">
        <f>AG123-AH123</f>
        <v/>
      </c>
      <c r="AJ123" s="33">
        <f>IF(AN122&lt;=0,0,ROUND(AN122*(1+'Your debts'!$D$12/1200),2))</f>
        <v/>
      </c>
      <c r="AK123" s="33">
        <f>IF(AJ123&lt;=0,0,MIN('Your debts'!$E$12,AJ123))</f>
        <v/>
      </c>
      <c r="AL123" s="33">
        <f>AJ123-AK123</f>
        <v/>
      </c>
      <c r="AM123" s="33">
        <f>IF('Your debts'!$F$12="",0,MIN(AL123,MAX(0,MAX(0,'Your debts'!$C$19-(G123+L123+Q123+V123+AA123+AF123+AK123+AP123+AU123+AZ123))-(IF(AND('Your debts'!$F$6&lt;&gt;"",'Your debts'!$F$12&lt;&gt;"",'Your debts'!$F$6&lt;'Your debts'!$F$12),H123,0)+IF(AND('Your debts'!$F$7&lt;&gt;"",'Your debts'!$F$12&lt;&gt;"",'Your debts'!$F$7&lt;'Your debts'!$F$12),M123,0)+IF(AND('Your debts'!$F$8&lt;&gt;"",'Your debts'!$F$12&lt;&gt;"",'Your debts'!$F$8&lt;'Your debts'!$F$12),R123,0)+IF(AND('Your debts'!$F$9&lt;&gt;"",'Your debts'!$F$12&lt;&gt;"",'Your debts'!$F$9&lt;'Your debts'!$F$12),W123,0)+IF(AND('Your debts'!$F$10&lt;&gt;"",'Your debts'!$F$12&lt;&gt;"",'Your debts'!$F$10&lt;'Your debts'!$F$12),AB123,0)+IF(AND('Your debts'!$F$11&lt;&gt;"",'Your debts'!$F$12&lt;&gt;"",'Your debts'!$F$11&lt;'Your debts'!$F$12),AG123,0)+IF(AND('Your debts'!$F$13&lt;&gt;"",'Your debts'!$F$12&lt;&gt;"",'Your debts'!$F$13&lt;'Your debts'!$F$12),AQ123,0)+IF(AND('Your debts'!$F$14&lt;&gt;"",'Your debts'!$F$12&lt;&gt;"",'Your debts'!$F$14&lt;'Your debts'!$F$12),AV123,0)+IF(AND('Your debts'!$F$15&lt;&gt;"",'Your debts'!$F$12&lt;&gt;"",'Your debts'!$F$15&lt;'Your debts'!$F$12),BA123,0)))))</f>
        <v/>
      </c>
      <c r="AN123" s="33">
        <f>AL123-AM123</f>
        <v/>
      </c>
      <c r="AO123" s="33">
        <f>IF(AS122&lt;=0,0,ROUND(AS122*(1+'Your debts'!$D$13/1200),2))</f>
        <v/>
      </c>
      <c r="AP123" s="33">
        <f>IF(AO123&lt;=0,0,MIN('Your debts'!$E$13,AO123))</f>
        <v/>
      </c>
      <c r="AQ123" s="33">
        <f>AO123-AP123</f>
        <v/>
      </c>
      <c r="AR123" s="33">
        <f>IF('Your debts'!$F$13="",0,MIN(AQ123,MAX(0,MAX(0,'Your debts'!$C$19-(G123+L123+Q123+V123+AA123+AF123+AK123+AP123+AU123+AZ123))-(IF(AND('Your debts'!$F$6&lt;&gt;"",'Your debts'!$F$13&lt;&gt;"",'Your debts'!$F$6&lt;'Your debts'!$F$13),H123,0)+IF(AND('Your debts'!$F$7&lt;&gt;"",'Your debts'!$F$13&lt;&gt;"",'Your debts'!$F$7&lt;'Your debts'!$F$13),M123,0)+IF(AND('Your debts'!$F$8&lt;&gt;"",'Your debts'!$F$13&lt;&gt;"",'Your debts'!$F$8&lt;'Your debts'!$F$13),R123,0)+IF(AND('Your debts'!$F$9&lt;&gt;"",'Your debts'!$F$13&lt;&gt;"",'Your debts'!$F$9&lt;'Your debts'!$F$13),W123,0)+IF(AND('Your debts'!$F$10&lt;&gt;"",'Your debts'!$F$13&lt;&gt;"",'Your debts'!$F$10&lt;'Your debts'!$F$13),AB123,0)+IF(AND('Your debts'!$F$11&lt;&gt;"",'Your debts'!$F$13&lt;&gt;"",'Your debts'!$F$11&lt;'Your debts'!$F$13),AG123,0)+IF(AND('Your debts'!$F$12&lt;&gt;"",'Your debts'!$F$13&lt;&gt;"",'Your debts'!$F$12&lt;'Your debts'!$F$13),AL123,0)+IF(AND('Your debts'!$F$14&lt;&gt;"",'Your debts'!$F$13&lt;&gt;"",'Your debts'!$F$14&lt;'Your debts'!$F$13),AV123,0)+IF(AND('Your debts'!$F$15&lt;&gt;"",'Your debts'!$F$13&lt;&gt;"",'Your debts'!$F$15&lt;'Your debts'!$F$13),BA123,0)))))</f>
        <v/>
      </c>
      <c r="AS123" s="33">
        <f>AQ123-AR123</f>
        <v/>
      </c>
      <c r="AT123" s="33">
        <f>IF(AX122&lt;=0,0,ROUND(AX122*(1+'Your debts'!$D$14/1200),2))</f>
        <v/>
      </c>
      <c r="AU123" s="33">
        <f>IF(AT123&lt;=0,0,MIN('Your debts'!$E$14,AT123))</f>
        <v/>
      </c>
      <c r="AV123" s="33">
        <f>AT123-AU123</f>
        <v/>
      </c>
      <c r="AW123" s="33">
        <f>IF('Your debts'!$F$14="",0,MIN(AV123,MAX(0,MAX(0,'Your debts'!$C$19-(G123+L123+Q123+V123+AA123+AF123+AK123+AP123+AU123+AZ123))-(IF(AND('Your debts'!$F$6&lt;&gt;"",'Your debts'!$F$14&lt;&gt;"",'Your debts'!$F$6&lt;'Your debts'!$F$14),H123,0)+IF(AND('Your debts'!$F$7&lt;&gt;"",'Your debts'!$F$14&lt;&gt;"",'Your debts'!$F$7&lt;'Your debts'!$F$14),M123,0)+IF(AND('Your debts'!$F$8&lt;&gt;"",'Your debts'!$F$14&lt;&gt;"",'Your debts'!$F$8&lt;'Your debts'!$F$14),R123,0)+IF(AND('Your debts'!$F$9&lt;&gt;"",'Your debts'!$F$14&lt;&gt;"",'Your debts'!$F$9&lt;'Your debts'!$F$14),W123,0)+IF(AND('Your debts'!$F$10&lt;&gt;"",'Your debts'!$F$14&lt;&gt;"",'Your debts'!$F$10&lt;'Your debts'!$F$14),AB123,0)+IF(AND('Your debts'!$F$11&lt;&gt;"",'Your debts'!$F$14&lt;&gt;"",'Your debts'!$F$11&lt;'Your debts'!$F$14),AG123,0)+IF(AND('Your debts'!$F$12&lt;&gt;"",'Your debts'!$F$14&lt;&gt;"",'Your debts'!$F$12&lt;'Your debts'!$F$14),AL123,0)+IF(AND('Your debts'!$F$13&lt;&gt;"",'Your debts'!$F$14&lt;&gt;"",'Your debts'!$F$13&lt;'Your debts'!$F$14),AQ123,0)+IF(AND('Your debts'!$F$15&lt;&gt;"",'Your debts'!$F$14&lt;&gt;"",'Your debts'!$F$15&lt;'Your debts'!$F$14),BA123,0)))))</f>
        <v/>
      </c>
      <c r="AX123" s="33">
        <f>AV123-AW123</f>
        <v/>
      </c>
      <c r="AY123" s="33">
        <f>IF(BC122&lt;=0,0,ROUND(BC122*(1+'Your debts'!$D$15/1200),2))</f>
        <v/>
      </c>
      <c r="AZ123" s="33">
        <f>IF(AY123&lt;=0,0,MIN('Your debts'!$E$15,AY123))</f>
        <v/>
      </c>
      <c r="BA123" s="33">
        <f>AY123-AZ123</f>
        <v/>
      </c>
      <c r="BB123" s="33">
        <f>IF('Your debts'!$F$15="",0,MIN(BA123,MAX(0,MAX(0,'Your debts'!$C$19-(G123+L123+Q123+V123+AA123+AF123+AK123+AP123+AU123+AZ123))-(IF(AND('Your debts'!$F$6&lt;&gt;"",'Your debts'!$F$15&lt;&gt;"",'Your debts'!$F$6&lt;'Your debts'!$F$15),H123,0)+IF(AND('Your debts'!$F$7&lt;&gt;"",'Your debts'!$F$15&lt;&gt;"",'Your debts'!$F$7&lt;'Your debts'!$F$15),M123,0)+IF(AND('Your debts'!$F$8&lt;&gt;"",'Your debts'!$F$15&lt;&gt;"",'Your debts'!$F$8&lt;'Your debts'!$F$15),R123,0)+IF(AND('Your debts'!$F$9&lt;&gt;"",'Your debts'!$F$15&lt;&gt;"",'Your debts'!$F$9&lt;'Your debts'!$F$15),W123,0)+IF(AND('Your debts'!$F$10&lt;&gt;"",'Your debts'!$F$15&lt;&gt;"",'Your debts'!$F$10&lt;'Your debts'!$F$15),AB123,0)+IF(AND('Your debts'!$F$11&lt;&gt;"",'Your debts'!$F$15&lt;&gt;"",'Your debts'!$F$11&lt;'Your debts'!$F$15),AG123,0)+IF(AND('Your debts'!$F$12&lt;&gt;"",'Your debts'!$F$15&lt;&gt;"",'Your debts'!$F$12&lt;'Your debts'!$F$15),AL123,0)+IF(AND('Your debts'!$F$13&lt;&gt;"",'Your debts'!$F$15&lt;&gt;"",'Your debts'!$F$13&lt;'Your debts'!$F$15),AQ123,0)+IF(AND('Your debts'!$F$14&lt;&gt;"",'Your debts'!$F$15&lt;&gt;"",'Your debts'!$F$14&lt;'Your debts'!$F$15),AV123,0)))))</f>
        <v/>
      </c>
      <c r="BC123" s="33">
        <f>BA123-BB123</f>
        <v/>
      </c>
    </row>
    <row r="124">
      <c r="A124" s="30" t="n">
        <v>109</v>
      </c>
      <c r="B124" s="31">
        <f>EDATE($B$15,109)</f>
        <v/>
      </c>
      <c r="C124" s="32">
        <f>IF(J123&lt;=0,0,F124-J123)+IF(O123&lt;=0,0,K124-O123)+IF(T123&lt;=0,0,P124-T123)+IF(Y123&lt;=0,0,U124-Y123)+IF(AD123&lt;=0,0,Z124-AD123)+IF(AI123&lt;=0,0,AE124-AI123)+IF(AN123&lt;=0,0,AJ124-AN123)+IF(AS123&lt;=0,0,AO124-AS123)+IF(AX123&lt;=0,0,AT124-AX123)+IF(BC123&lt;=0,0,AY124-BC123)</f>
        <v/>
      </c>
      <c r="D124" s="32">
        <f>G124+I124+L124+N124+Q124+S124+V124+X124+AA124+AC124+AF124+AH124+AK124+AM124+AP124+AR124+AU124+AW124+AZ124+BB124</f>
        <v/>
      </c>
      <c r="E124" s="32">
        <f>J124+O124+T124+Y124+AD124+AI124+AN124+AS124+AX124+BC124</f>
        <v/>
      </c>
      <c r="F124" s="33">
        <f>IF(J123&lt;=0,0,ROUND(J123*(1+'Your debts'!$D$6/1200),2))</f>
        <v/>
      </c>
      <c r="G124" s="33">
        <f>IF(F124&lt;=0,0,MIN('Your debts'!$E$6,F124))</f>
        <v/>
      </c>
      <c r="H124" s="33">
        <f>F124-G124</f>
        <v/>
      </c>
      <c r="I124" s="33">
        <f>IF('Your debts'!$F$6="",0,MIN(H124,MAX(0,MAX(0,'Your debts'!$C$19-(G124+L124+Q124+V124+AA124+AF124+AK124+AP124+AU124+AZ124))-(IF(AND('Your debts'!$F$7&lt;&gt;"",'Your debts'!$F$6&lt;&gt;"",'Your debts'!$F$7&lt;'Your debts'!$F$6),M124,0)+IF(AND('Your debts'!$F$8&lt;&gt;"",'Your debts'!$F$6&lt;&gt;"",'Your debts'!$F$8&lt;'Your debts'!$F$6),R124,0)+IF(AND('Your debts'!$F$9&lt;&gt;"",'Your debts'!$F$6&lt;&gt;"",'Your debts'!$F$9&lt;'Your debts'!$F$6),W124,0)+IF(AND('Your debts'!$F$10&lt;&gt;"",'Your debts'!$F$6&lt;&gt;"",'Your debts'!$F$10&lt;'Your debts'!$F$6),AB124,0)+IF(AND('Your debts'!$F$11&lt;&gt;"",'Your debts'!$F$6&lt;&gt;"",'Your debts'!$F$11&lt;'Your debts'!$F$6),AG124,0)+IF(AND('Your debts'!$F$12&lt;&gt;"",'Your debts'!$F$6&lt;&gt;"",'Your debts'!$F$12&lt;'Your debts'!$F$6),AL124,0)+IF(AND('Your debts'!$F$13&lt;&gt;"",'Your debts'!$F$6&lt;&gt;"",'Your debts'!$F$13&lt;'Your debts'!$F$6),AQ124,0)+IF(AND('Your debts'!$F$14&lt;&gt;"",'Your debts'!$F$6&lt;&gt;"",'Your debts'!$F$14&lt;'Your debts'!$F$6),AV124,0)+IF(AND('Your debts'!$F$15&lt;&gt;"",'Your debts'!$F$6&lt;&gt;"",'Your debts'!$F$15&lt;'Your debts'!$F$6),BA124,0)))))</f>
        <v/>
      </c>
      <c r="J124" s="33">
        <f>H124-I124</f>
        <v/>
      </c>
      <c r="K124" s="33">
        <f>IF(O123&lt;=0,0,ROUND(O123*(1+'Your debts'!$D$7/1200),2))</f>
        <v/>
      </c>
      <c r="L124" s="33">
        <f>IF(K124&lt;=0,0,MIN('Your debts'!$E$7,K124))</f>
        <v/>
      </c>
      <c r="M124" s="33">
        <f>K124-L124</f>
        <v/>
      </c>
      <c r="N124" s="33">
        <f>IF('Your debts'!$F$7="",0,MIN(M124,MAX(0,MAX(0,'Your debts'!$C$19-(G124+L124+Q124+V124+AA124+AF124+AK124+AP124+AU124+AZ124))-(IF(AND('Your debts'!$F$6&lt;&gt;"",'Your debts'!$F$7&lt;&gt;"",'Your debts'!$F$6&lt;'Your debts'!$F$7),H124,0)+IF(AND('Your debts'!$F$8&lt;&gt;"",'Your debts'!$F$7&lt;&gt;"",'Your debts'!$F$8&lt;'Your debts'!$F$7),R124,0)+IF(AND('Your debts'!$F$9&lt;&gt;"",'Your debts'!$F$7&lt;&gt;"",'Your debts'!$F$9&lt;'Your debts'!$F$7),W124,0)+IF(AND('Your debts'!$F$10&lt;&gt;"",'Your debts'!$F$7&lt;&gt;"",'Your debts'!$F$10&lt;'Your debts'!$F$7),AB124,0)+IF(AND('Your debts'!$F$11&lt;&gt;"",'Your debts'!$F$7&lt;&gt;"",'Your debts'!$F$11&lt;'Your debts'!$F$7),AG124,0)+IF(AND('Your debts'!$F$12&lt;&gt;"",'Your debts'!$F$7&lt;&gt;"",'Your debts'!$F$12&lt;'Your debts'!$F$7),AL124,0)+IF(AND('Your debts'!$F$13&lt;&gt;"",'Your debts'!$F$7&lt;&gt;"",'Your debts'!$F$13&lt;'Your debts'!$F$7),AQ124,0)+IF(AND('Your debts'!$F$14&lt;&gt;"",'Your debts'!$F$7&lt;&gt;"",'Your debts'!$F$14&lt;'Your debts'!$F$7),AV124,0)+IF(AND('Your debts'!$F$15&lt;&gt;"",'Your debts'!$F$7&lt;&gt;"",'Your debts'!$F$15&lt;'Your debts'!$F$7),BA124,0)))))</f>
        <v/>
      </c>
      <c r="O124" s="33">
        <f>M124-N124</f>
        <v/>
      </c>
      <c r="P124" s="33">
        <f>IF(T123&lt;=0,0,ROUND(T123*(1+'Your debts'!$D$8/1200),2))</f>
        <v/>
      </c>
      <c r="Q124" s="33">
        <f>IF(P124&lt;=0,0,MIN('Your debts'!$E$8,P124))</f>
        <v/>
      </c>
      <c r="R124" s="33">
        <f>P124-Q124</f>
        <v/>
      </c>
      <c r="S124" s="33">
        <f>IF('Your debts'!$F$8="",0,MIN(R124,MAX(0,MAX(0,'Your debts'!$C$19-(G124+L124+Q124+V124+AA124+AF124+AK124+AP124+AU124+AZ124))-(IF(AND('Your debts'!$F$6&lt;&gt;"",'Your debts'!$F$8&lt;&gt;"",'Your debts'!$F$6&lt;'Your debts'!$F$8),H124,0)+IF(AND('Your debts'!$F$7&lt;&gt;"",'Your debts'!$F$8&lt;&gt;"",'Your debts'!$F$7&lt;'Your debts'!$F$8),M124,0)+IF(AND('Your debts'!$F$9&lt;&gt;"",'Your debts'!$F$8&lt;&gt;"",'Your debts'!$F$9&lt;'Your debts'!$F$8),W124,0)+IF(AND('Your debts'!$F$10&lt;&gt;"",'Your debts'!$F$8&lt;&gt;"",'Your debts'!$F$10&lt;'Your debts'!$F$8),AB124,0)+IF(AND('Your debts'!$F$11&lt;&gt;"",'Your debts'!$F$8&lt;&gt;"",'Your debts'!$F$11&lt;'Your debts'!$F$8),AG124,0)+IF(AND('Your debts'!$F$12&lt;&gt;"",'Your debts'!$F$8&lt;&gt;"",'Your debts'!$F$12&lt;'Your debts'!$F$8),AL124,0)+IF(AND('Your debts'!$F$13&lt;&gt;"",'Your debts'!$F$8&lt;&gt;"",'Your debts'!$F$13&lt;'Your debts'!$F$8),AQ124,0)+IF(AND('Your debts'!$F$14&lt;&gt;"",'Your debts'!$F$8&lt;&gt;"",'Your debts'!$F$14&lt;'Your debts'!$F$8),AV124,0)+IF(AND('Your debts'!$F$15&lt;&gt;"",'Your debts'!$F$8&lt;&gt;"",'Your debts'!$F$15&lt;'Your debts'!$F$8),BA124,0)))))</f>
        <v/>
      </c>
      <c r="T124" s="33">
        <f>R124-S124</f>
        <v/>
      </c>
      <c r="U124" s="33">
        <f>IF(Y123&lt;=0,0,ROUND(Y123*(1+'Your debts'!$D$9/1200),2))</f>
        <v/>
      </c>
      <c r="V124" s="33">
        <f>IF(U124&lt;=0,0,MIN('Your debts'!$E$9,U124))</f>
        <v/>
      </c>
      <c r="W124" s="33">
        <f>U124-V124</f>
        <v/>
      </c>
      <c r="X124" s="33">
        <f>IF('Your debts'!$F$9="",0,MIN(W124,MAX(0,MAX(0,'Your debts'!$C$19-(G124+L124+Q124+V124+AA124+AF124+AK124+AP124+AU124+AZ124))-(IF(AND('Your debts'!$F$6&lt;&gt;"",'Your debts'!$F$9&lt;&gt;"",'Your debts'!$F$6&lt;'Your debts'!$F$9),H124,0)+IF(AND('Your debts'!$F$7&lt;&gt;"",'Your debts'!$F$9&lt;&gt;"",'Your debts'!$F$7&lt;'Your debts'!$F$9),M124,0)+IF(AND('Your debts'!$F$8&lt;&gt;"",'Your debts'!$F$9&lt;&gt;"",'Your debts'!$F$8&lt;'Your debts'!$F$9),R124,0)+IF(AND('Your debts'!$F$10&lt;&gt;"",'Your debts'!$F$9&lt;&gt;"",'Your debts'!$F$10&lt;'Your debts'!$F$9),AB124,0)+IF(AND('Your debts'!$F$11&lt;&gt;"",'Your debts'!$F$9&lt;&gt;"",'Your debts'!$F$11&lt;'Your debts'!$F$9),AG124,0)+IF(AND('Your debts'!$F$12&lt;&gt;"",'Your debts'!$F$9&lt;&gt;"",'Your debts'!$F$12&lt;'Your debts'!$F$9),AL124,0)+IF(AND('Your debts'!$F$13&lt;&gt;"",'Your debts'!$F$9&lt;&gt;"",'Your debts'!$F$13&lt;'Your debts'!$F$9),AQ124,0)+IF(AND('Your debts'!$F$14&lt;&gt;"",'Your debts'!$F$9&lt;&gt;"",'Your debts'!$F$14&lt;'Your debts'!$F$9),AV124,0)+IF(AND('Your debts'!$F$15&lt;&gt;"",'Your debts'!$F$9&lt;&gt;"",'Your debts'!$F$15&lt;'Your debts'!$F$9),BA124,0)))))</f>
        <v/>
      </c>
      <c r="Y124" s="33">
        <f>W124-X124</f>
        <v/>
      </c>
      <c r="Z124" s="33">
        <f>IF(AD123&lt;=0,0,ROUND(AD123*(1+'Your debts'!$D$10/1200),2))</f>
        <v/>
      </c>
      <c r="AA124" s="33">
        <f>IF(Z124&lt;=0,0,MIN('Your debts'!$E$10,Z124))</f>
        <v/>
      </c>
      <c r="AB124" s="33">
        <f>Z124-AA124</f>
        <v/>
      </c>
      <c r="AC124" s="33">
        <f>IF('Your debts'!$F$10="",0,MIN(AB124,MAX(0,MAX(0,'Your debts'!$C$19-(G124+L124+Q124+V124+AA124+AF124+AK124+AP124+AU124+AZ124))-(IF(AND('Your debts'!$F$6&lt;&gt;"",'Your debts'!$F$10&lt;&gt;"",'Your debts'!$F$6&lt;'Your debts'!$F$10),H124,0)+IF(AND('Your debts'!$F$7&lt;&gt;"",'Your debts'!$F$10&lt;&gt;"",'Your debts'!$F$7&lt;'Your debts'!$F$10),M124,0)+IF(AND('Your debts'!$F$8&lt;&gt;"",'Your debts'!$F$10&lt;&gt;"",'Your debts'!$F$8&lt;'Your debts'!$F$10),R124,0)+IF(AND('Your debts'!$F$9&lt;&gt;"",'Your debts'!$F$10&lt;&gt;"",'Your debts'!$F$9&lt;'Your debts'!$F$10),W124,0)+IF(AND('Your debts'!$F$11&lt;&gt;"",'Your debts'!$F$10&lt;&gt;"",'Your debts'!$F$11&lt;'Your debts'!$F$10),AG124,0)+IF(AND('Your debts'!$F$12&lt;&gt;"",'Your debts'!$F$10&lt;&gt;"",'Your debts'!$F$12&lt;'Your debts'!$F$10),AL124,0)+IF(AND('Your debts'!$F$13&lt;&gt;"",'Your debts'!$F$10&lt;&gt;"",'Your debts'!$F$13&lt;'Your debts'!$F$10),AQ124,0)+IF(AND('Your debts'!$F$14&lt;&gt;"",'Your debts'!$F$10&lt;&gt;"",'Your debts'!$F$14&lt;'Your debts'!$F$10),AV124,0)+IF(AND('Your debts'!$F$15&lt;&gt;"",'Your debts'!$F$10&lt;&gt;"",'Your debts'!$F$15&lt;'Your debts'!$F$10),BA124,0)))))</f>
        <v/>
      </c>
      <c r="AD124" s="33">
        <f>AB124-AC124</f>
        <v/>
      </c>
      <c r="AE124" s="33">
        <f>IF(AI123&lt;=0,0,ROUND(AI123*(1+'Your debts'!$D$11/1200),2))</f>
        <v/>
      </c>
      <c r="AF124" s="33">
        <f>IF(AE124&lt;=0,0,MIN('Your debts'!$E$11,AE124))</f>
        <v/>
      </c>
      <c r="AG124" s="33">
        <f>AE124-AF124</f>
        <v/>
      </c>
      <c r="AH124" s="33">
        <f>IF('Your debts'!$F$11="",0,MIN(AG124,MAX(0,MAX(0,'Your debts'!$C$19-(G124+L124+Q124+V124+AA124+AF124+AK124+AP124+AU124+AZ124))-(IF(AND('Your debts'!$F$6&lt;&gt;"",'Your debts'!$F$11&lt;&gt;"",'Your debts'!$F$6&lt;'Your debts'!$F$11),H124,0)+IF(AND('Your debts'!$F$7&lt;&gt;"",'Your debts'!$F$11&lt;&gt;"",'Your debts'!$F$7&lt;'Your debts'!$F$11),M124,0)+IF(AND('Your debts'!$F$8&lt;&gt;"",'Your debts'!$F$11&lt;&gt;"",'Your debts'!$F$8&lt;'Your debts'!$F$11),R124,0)+IF(AND('Your debts'!$F$9&lt;&gt;"",'Your debts'!$F$11&lt;&gt;"",'Your debts'!$F$9&lt;'Your debts'!$F$11),W124,0)+IF(AND('Your debts'!$F$10&lt;&gt;"",'Your debts'!$F$11&lt;&gt;"",'Your debts'!$F$10&lt;'Your debts'!$F$11),AB124,0)+IF(AND('Your debts'!$F$12&lt;&gt;"",'Your debts'!$F$11&lt;&gt;"",'Your debts'!$F$12&lt;'Your debts'!$F$11),AL124,0)+IF(AND('Your debts'!$F$13&lt;&gt;"",'Your debts'!$F$11&lt;&gt;"",'Your debts'!$F$13&lt;'Your debts'!$F$11),AQ124,0)+IF(AND('Your debts'!$F$14&lt;&gt;"",'Your debts'!$F$11&lt;&gt;"",'Your debts'!$F$14&lt;'Your debts'!$F$11),AV124,0)+IF(AND('Your debts'!$F$15&lt;&gt;"",'Your debts'!$F$11&lt;&gt;"",'Your debts'!$F$15&lt;'Your debts'!$F$11),BA124,0)))))</f>
        <v/>
      </c>
      <c r="AI124" s="33">
        <f>AG124-AH124</f>
        <v/>
      </c>
      <c r="AJ124" s="33">
        <f>IF(AN123&lt;=0,0,ROUND(AN123*(1+'Your debts'!$D$12/1200),2))</f>
        <v/>
      </c>
      <c r="AK124" s="33">
        <f>IF(AJ124&lt;=0,0,MIN('Your debts'!$E$12,AJ124))</f>
        <v/>
      </c>
      <c r="AL124" s="33">
        <f>AJ124-AK124</f>
        <v/>
      </c>
      <c r="AM124" s="33">
        <f>IF('Your debts'!$F$12="",0,MIN(AL124,MAX(0,MAX(0,'Your debts'!$C$19-(G124+L124+Q124+V124+AA124+AF124+AK124+AP124+AU124+AZ124))-(IF(AND('Your debts'!$F$6&lt;&gt;"",'Your debts'!$F$12&lt;&gt;"",'Your debts'!$F$6&lt;'Your debts'!$F$12),H124,0)+IF(AND('Your debts'!$F$7&lt;&gt;"",'Your debts'!$F$12&lt;&gt;"",'Your debts'!$F$7&lt;'Your debts'!$F$12),M124,0)+IF(AND('Your debts'!$F$8&lt;&gt;"",'Your debts'!$F$12&lt;&gt;"",'Your debts'!$F$8&lt;'Your debts'!$F$12),R124,0)+IF(AND('Your debts'!$F$9&lt;&gt;"",'Your debts'!$F$12&lt;&gt;"",'Your debts'!$F$9&lt;'Your debts'!$F$12),W124,0)+IF(AND('Your debts'!$F$10&lt;&gt;"",'Your debts'!$F$12&lt;&gt;"",'Your debts'!$F$10&lt;'Your debts'!$F$12),AB124,0)+IF(AND('Your debts'!$F$11&lt;&gt;"",'Your debts'!$F$12&lt;&gt;"",'Your debts'!$F$11&lt;'Your debts'!$F$12),AG124,0)+IF(AND('Your debts'!$F$13&lt;&gt;"",'Your debts'!$F$12&lt;&gt;"",'Your debts'!$F$13&lt;'Your debts'!$F$12),AQ124,0)+IF(AND('Your debts'!$F$14&lt;&gt;"",'Your debts'!$F$12&lt;&gt;"",'Your debts'!$F$14&lt;'Your debts'!$F$12),AV124,0)+IF(AND('Your debts'!$F$15&lt;&gt;"",'Your debts'!$F$12&lt;&gt;"",'Your debts'!$F$15&lt;'Your debts'!$F$12),BA124,0)))))</f>
        <v/>
      </c>
      <c r="AN124" s="33">
        <f>AL124-AM124</f>
        <v/>
      </c>
      <c r="AO124" s="33">
        <f>IF(AS123&lt;=0,0,ROUND(AS123*(1+'Your debts'!$D$13/1200),2))</f>
        <v/>
      </c>
      <c r="AP124" s="33">
        <f>IF(AO124&lt;=0,0,MIN('Your debts'!$E$13,AO124))</f>
        <v/>
      </c>
      <c r="AQ124" s="33">
        <f>AO124-AP124</f>
        <v/>
      </c>
      <c r="AR124" s="33">
        <f>IF('Your debts'!$F$13="",0,MIN(AQ124,MAX(0,MAX(0,'Your debts'!$C$19-(G124+L124+Q124+V124+AA124+AF124+AK124+AP124+AU124+AZ124))-(IF(AND('Your debts'!$F$6&lt;&gt;"",'Your debts'!$F$13&lt;&gt;"",'Your debts'!$F$6&lt;'Your debts'!$F$13),H124,0)+IF(AND('Your debts'!$F$7&lt;&gt;"",'Your debts'!$F$13&lt;&gt;"",'Your debts'!$F$7&lt;'Your debts'!$F$13),M124,0)+IF(AND('Your debts'!$F$8&lt;&gt;"",'Your debts'!$F$13&lt;&gt;"",'Your debts'!$F$8&lt;'Your debts'!$F$13),R124,0)+IF(AND('Your debts'!$F$9&lt;&gt;"",'Your debts'!$F$13&lt;&gt;"",'Your debts'!$F$9&lt;'Your debts'!$F$13),W124,0)+IF(AND('Your debts'!$F$10&lt;&gt;"",'Your debts'!$F$13&lt;&gt;"",'Your debts'!$F$10&lt;'Your debts'!$F$13),AB124,0)+IF(AND('Your debts'!$F$11&lt;&gt;"",'Your debts'!$F$13&lt;&gt;"",'Your debts'!$F$11&lt;'Your debts'!$F$13),AG124,0)+IF(AND('Your debts'!$F$12&lt;&gt;"",'Your debts'!$F$13&lt;&gt;"",'Your debts'!$F$12&lt;'Your debts'!$F$13),AL124,0)+IF(AND('Your debts'!$F$14&lt;&gt;"",'Your debts'!$F$13&lt;&gt;"",'Your debts'!$F$14&lt;'Your debts'!$F$13),AV124,0)+IF(AND('Your debts'!$F$15&lt;&gt;"",'Your debts'!$F$13&lt;&gt;"",'Your debts'!$F$15&lt;'Your debts'!$F$13),BA124,0)))))</f>
        <v/>
      </c>
      <c r="AS124" s="33">
        <f>AQ124-AR124</f>
        <v/>
      </c>
      <c r="AT124" s="33">
        <f>IF(AX123&lt;=0,0,ROUND(AX123*(1+'Your debts'!$D$14/1200),2))</f>
        <v/>
      </c>
      <c r="AU124" s="33">
        <f>IF(AT124&lt;=0,0,MIN('Your debts'!$E$14,AT124))</f>
        <v/>
      </c>
      <c r="AV124" s="33">
        <f>AT124-AU124</f>
        <v/>
      </c>
      <c r="AW124" s="33">
        <f>IF('Your debts'!$F$14="",0,MIN(AV124,MAX(0,MAX(0,'Your debts'!$C$19-(G124+L124+Q124+V124+AA124+AF124+AK124+AP124+AU124+AZ124))-(IF(AND('Your debts'!$F$6&lt;&gt;"",'Your debts'!$F$14&lt;&gt;"",'Your debts'!$F$6&lt;'Your debts'!$F$14),H124,0)+IF(AND('Your debts'!$F$7&lt;&gt;"",'Your debts'!$F$14&lt;&gt;"",'Your debts'!$F$7&lt;'Your debts'!$F$14),M124,0)+IF(AND('Your debts'!$F$8&lt;&gt;"",'Your debts'!$F$14&lt;&gt;"",'Your debts'!$F$8&lt;'Your debts'!$F$14),R124,0)+IF(AND('Your debts'!$F$9&lt;&gt;"",'Your debts'!$F$14&lt;&gt;"",'Your debts'!$F$9&lt;'Your debts'!$F$14),W124,0)+IF(AND('Your debts'!$F$10&lt;&gt;"",'Your debts'!$F$14&lt;&gt;"",'Your debts'!$F$10&lt;'Your debts'!$F$14),AB124,0)+IF(AND('Your debts'!$F$11&lt;&gt;"",'Your debts'!$F$14&lt;&gt;"",'Your debts'!$F$11&lt;'Your debts'!$F$14),AG124,0)+IF(AND('Your debts'!$F$12&lt;&gt;"",'Your debts'!$F$14&lt;&gt;"",'Your debts'!$F$12&lt;'Your debts'!$F$14),AL124,0)+IF(AND('Your debts'!$F$13&lt;&gt;"",'Your debts'!$F$14&lt;&gt;"",'Your debts'!$F$13&lt;'Your debts'!$F$14),AQ124,0)+IF(AND('Your debts'!$F$15&lt;&gt;"",'Your debts'!$F$14&lt;&gt;"",'Your debts'!$F$15&lt;'Your debts'!$F$14),BA124,0)))))</f>
        <v/>
      </c>
      <c r="AX124" s="33">
        <f>AV124-AW124</f>
        <v/>
      </c>
      <c r="AY124" s="33">
        <f>IF(BC123&lt;=0,0,ROUND(BC123*(1+'Your debts'!$D$15/1200),2))</f>
        <v/>
      </c>
      <c r="AZ124" s="33">
        <f>IF(AY124&lt;=0,0,MIN('Your debts'!$E$15,AY124))</f>
        <v/>
      </c>
      <c r="BA124" s="33">
        <f>AY124-AZ124</f>
        <v/>
      </c>
      <c r="BB124" s="33">
        <f>IF('Your debts'!$F$15="",0,MIN(BA124,MAX(0,MAX(0,'Your debts'!$C$19-(G124+L124+Q124+V124+AA124+AF124+AK124+AP124+AU124+AZ124))-(IF(AND('Your debts'!$F$6&lt;&gt;"",'Your debts'!$F$15&lt;&gt;"",'Your debts'!$F$6&lt;'Your debts'!$F$15),H124,0)+IF(AND('Your debts'!$F$7&lt;&gt;"",'Your debts'!$F$15&lt;&gt;"",'Your debts'!$F$7&lt;'Your debts'!$F$15),M124,0)+IF(AND('Your debts'!$F$8&lt;&gt;"",'Your debts'!$F$15&lt;&gt;"",'Your debts'!$F$8&lt;'Your debts'!$F$15),R124,0)+IF(AND('Your debts'!$F$9&lt;&gt;"",'Your debts'!$F$15&lt;&gt;"",'Your debts'!$F$9&lt;'Your debts'!$F$15),W124,0)+IF(AND('Your debts'!$F$10&lt;&gt;"",'Your debts'!$F$15&lt;&gt;"",'Your debts'!$F$10&lt;'Your debts'!$F$15),AB124,0)+IF(AND('Your debts'!$F$11&lt;&gt;"",'Your debts'!$F$15&lt;&gt;"",'Your debts'!$F$11&lt;'Your debts'!$F$15),AG124,0)+IF(AND('Your debts'!$F$12&lt;&gt;"",'Your debts'!$F$15&lt;&gt;"",'Your debts'!$F$12&lt;'Your debts'!$F$15),AL124,0)+IF(AND('Your debts'!$F$13&lt;&gt;"",'Your debts'!$F$15&lt;&gt;"",'Your debts'!$F$13&lt;'Your debts'!$F$15),AQ124,0)+IF(AND('Your debts'!$F$14&lt;&gt;"",'Your debts'!$F$15&lt;&gt;"",'Your debts'!$F$14&lt;'Your debts'!$F$15),AV124,0)))))</f>
        <v/>
      </c>
      <c r="BC124" s="33">
        <f>BA124-BB124</f>
        <v/>
      </c>
    </row>
    <row r="125">
      <c r="A125" s="30" t="n">
        <v>110</v>
      </c>
      <c r="B125" s="31">
        <f>EDATE($B$15,110)</f>
        <v/>
      </c>
      <c r="C125" s="32">
        <f>IF(J124&lt;=0,0,F125-J124)+IF(O124&lt;=0,0,K125-O124)+IF(T124&lt;=0,0,P125-T124)+IF(Y124&lt;=0,0,U125-Y124)+IF(AD124&lt;=0,0,Z125-AD124)+IF(AI124&lt;=0,0,AE125-AI124)+IF(AN124&lt;=0,0,AJ125-AN124)+IF(AS124&lt;=0,0,AO125-AS124)+IF(AX124&lt;=0,0,AT125-AX124)+IF(BC124&lt;=0,0,AY125-BC124)</f>
        <v/>
      </c>
      <c r="D125" s="32">
        <f>G125+I125+L125+N125+Q125+S125+V125+X125+AA125+AC125+AF125+AH125+AK125+AM125+AP125+AR125+AU125+AW125+AZ125+BB125</f>
        <v/>
      </c>
      <c r="E125" s="32">
        <f>J125+O125+T125+Y125+AD125+AI125+AN125+AS125+AX125+BC125</f>
        <v/>
      </c>
      <c r="F125" s="33">
        <f>IF(J124&lt;=0,0,ROUND(J124*(1+'Your debts'!$D$6/1200),2))</f>
        <v/>
      </c>
      <c r="G125" s="33">
        <f>IF(F125&lt;=0,0,MIN('Your debts'!$E$6,F125))</f>
        <v/>
      </c>
      <c r="H125" s="33">
        <f>F125-G125</f>
        <v/>
      </c>
      <c r="I125" s="33">
        <f>IF('Your debts'!$F$6="",0,MIN(H125,MAX(0,MAX(0,'Your debts'!$C$19-(G125+L125+Q125+V125+AA125+AF125+AK125+AP125+AU125+AZ125))-(IF(AND('Your debts'!$F$7&lt;&gt;"",'Your debts'!$F$6&lt;&gt;"",'Your debts'!$F$7&lt;'Your debts'!$F$6),M125,0)+IF(AND('Your debts'!$F$8&lt;&gt;"",'Your debts'!$F$6&lt;&gt;"",'Your debts'!$F$8&lt;'Your debts'!$F$6),R125,0)+IF(AND('Your debts'!$F$9&lt;&gt;"",'Your debts'!$F$6&lt;&gt;"",'Your debts'!$F$9&lt;'Your debts'!$F$6),W125,0)+IF(AND('Your debts'!$F$10&lt;&gt;"",'Your debts'!$F$6&lt;&gt;"",'Your debts'!$F$10&lt;'Your debts'!$F$6),AB125,0)+IF(AND('Your debts'!$F$11&lt;&gt;"",'Your debts'!$F$6&lt;&gt;"",'Your debts'!$F$11&lt;'Your debts'!$F$6),AG125,0)+IF(AND('Your debts'!$F$12&lt;&gt;"",'Your debts'!$F$6&lt;&gt;"",'Your debts'!$F$12&lt;'Your debts'!$F$6),AL125,0)+IF(AND('Your debts'!$F$13&lt;&gt;"",'Your debts'!$F$6&lt;&gt;"",'Your debts'!$F$13&lt;'Your debts'!$F$6),AQ125,0)+IF(AND('Your debts'!$F$14&lt;&gt;"",'Your debts'!$F$6&lt;&gt;"",'Your debts'!$F$14&lt;'Your debts'!$F$6),AV125,0)+IF(AND('Your debts'!$F$15&lt;&gt;"",'Your debts'!$F$6&lt;&gt;"",'Your debts'!$F$15&lt;'Your debts'!$F$6),BA125,0)))))</f>
        <v/>
      </c>
      <c r="J125" s="33">
        <f>H125-I125</f>
        <v/>
      </c>
      <c r="K125" s="33">
        <f>IF(O124&lt;=0,0,ROUND(O124*(1+'Your debts'!$D$7/1200),2))</f>
        <v/>
      </c>
      <c r="L125" s="33">
        <f>IF(K125&lt;=0,0,MIN('Your debts'!$E$7,K125))</f>
        <v/>
      </c>
      <c r="M125" s="33">
        <f>K125-L125</f>
        <v/>
      </c>
      <c r="N125" s="33">
        <f>IF('Your debts'!$F$7="",0,MIN(M125,MAX(0,MAX(0,'Your debts'!$C$19-(G125+L125+Q125+V125+AA125+AF125+AK125+AP125+AU125+AZ125))-(IF(AND('Your debts'!$F$6&lt;&gt;"",'Your debts'!$F$7&lt;&gt;"",'Your debts'!$F$6&lt;'Your debts'!$F$7),H125,0)+IF(AND('Your debts'!$F$8&lt;&gt;"",'Your debts'!$F$7&lt;&gt;"",'Your debts'!$F$8&lt;'Your debts'!$F$7),R125,0)+IF(AND('Your debts'!$F$9&lt;&gt;"",'Your debts'!$F$7&lt;&gt;"",'Your debts'!$F$9&lt;'Your debts'!$F$7),W125,0)+IF(AND('Your debts'!$F$10&lt;&gt;"",'Your debts'!$F$7&lt;&gt;"",'Your debts'!$F$10&lt;'Your debts'!$F$7),AB125,0)+IF(AND('Your debts'!$F$11&lt;&gt;"",'Your debts'!$F$7&lt;&gt;"",'Your debts'!$F$11&lt;'Your debts'!$F$7),AG125,0)+IF(AND('Your debts'!$F$12&lt;&gt;"",'Your debts'!$F$7&lt;&gt;"",'Your debts'!$F$12&lt;'Your debts'!$F$7),AL125,0)+IF(AND('Your debts'!$F$13&lt;&gt;"",'Your debts'!$F$7&lt;&gt;"",'Your debts'!$F$13&lt;'Your debts'!$F$7),AQ125,0)+IF(AND('Your debts'!$F$14&lt;&gt;"",'Your debts'!$F$7&lt;&gt;"",'Your debts'!$F$14&lt;'Your debts'!$F$7),AV125,0)+IF(AND('Your debts'!$F$15&lt;&gt;"",'Your debts'!$F$7&lt;&gt;"",'Your debts'!$F$15&lt;'Your debts'!$F$7),BA125,0)))))</f>
        <v/>
      </c>
      <c r="O125" s="33">
        <f>M125-N125</f>
        <v/>
      </c>
      <c r="P125" s="33">
        <f>IF(T124&lt;=0,0,ROUND(T124*(1+'Your debts'!$D$8/1200),2))</f>
        <v/>
      </c>
      <c r="Q125" s="33">
        <f>IF(P125&lt;=0,0,MIN('Your debts'!$E$8,P125))</f>
        <v/>
      </c>
      <c r="R125" s="33">
        <f>P125-Q125</f>
        <v/>
      </c>
      <c r="S125" s="33">
        <f>IF('Your debts'!$F$8="",0,MIN(R125,MAX(0,MAX(0,'Your debts'!$C$19-(G125+L125+Q125+V125+AA125+AF125+AK125+AP125+AU125+AZ125))-(IF(AND('Your debts'!$F$6&lt;&gt;"",'Your debts'!$F$8&lt;&gt;"",'Your debts'!$F$6&lt;'Your debts'!$F$8),H125,0)+IF(AND('Your debts'!$F$7&lt;&gt;"",'Your debts'!$F$8&lt;&gt;"",'Your debts'!$F$7&lt;'Your debts'!$F$8),M125,0)+IF(AND('Your debts'!$F$9&lt;&gt;"",'Your debts'!$F$8&lt;&gt;"",'Your debts'!$F$9&lt;'Your debts'!$F$8),W125,0)+IF(AND('Your debts'!$F$10&lt;&gt;"",'Your debts'!$F$8&lt;&gt;"",'Your debts'!$F$10&lt;'Your debts'!$F$8),AB125,0)+IF(AND('Your debts'!$F$11&lt;&gt;"",'Your debts'!$F$8&lt;&gt;"",'Your debts'!$F$11&lt;'Your debts'!$F$8),AG125,0)+IF(AND('Your debts'!$F$12&lt;&gt;"",'Your debts'!$F$8&lt;&gt;"",'Your debts'!$F$12&lt;'Your debts'!$F$8),AL125,0)+IF(AND('Your debts'!$F$13&lt;&gt;"",'Your debts'!$F$8&lt;&gt;"",'Your debts'!$F$13&lt;'Your debts'!$F$8),AQ125,0)+IF(AND('Your debts'!$F$14&lt;&gt;"",'Your debts'!$F$8&lt;&gt;"",'Your debts'!$F$14&lt;'Your debts'!$F$8),AV125,0)+IF(AND('Your debts'!$F$15&lt;&gt;"",'Your debts'!$F$8&lt;&gt;"",'Your debts'!$F$15&lt;'Your debts'!$F$8),BA125,0)))))</f>
        <v/>
      </c>
      <c r="T125" s="33">
        <f>R125-S125</f>
        <v/>
      </c>
      <c r="U125" s="33">
        <f>IF(Y124&lt;=0,0,ROUND(Y124*(1+'Your debts'!$D$9/1200),2))</f>
        <v/>
      </c>
      <c r="V125" s="33">
        <f>IF(U125&lt;=0,0,MIN('Your debts'!$E$9,U125))</f>
        <v/>
      </c>
      <c r="W125" s="33">
        <f>U125-V125</f>
        <v/>
      </c>
      <c r="X125" s="33">
        <f>IF('Your debts'!$F$9="",0,MIN(W125,MAX(0,MAX(0,'Your debts'!$C$19-(G125+L125+Q125+V125+AA125+AF125+AK125+AP125+AU125+AZ125))-(IF(AND('Your debts'!$F$6&lt;&gt;"",'Your debts'!$F$9&lt;&gt;"",'Your debts'!$F$6&lt;'Your debts'!$F$9),H125,0)+IF(AND('Your debts'!$F$7&lt;&gt;"",'Your debts'!$F$9&lt;&gt;"",'Your debts'!$F$7&lt;'Your debts'!$F$9),M125,0)+IF(AND('Your debts'!$F$8&lt;&gt;"",'Your debts'!$F$9&lt;&gt;"",'Your debts'!$F$8&lt;'Your debts'!$F$9),R125,0)+IF(AND('Your debts'!$F$10&lt;&gt;"",'Your debts'!$F$9&lt;&gt;"",'Your debts'!$F$10&lt;'Your debts'!$F$9),AB125,0)+IF(AND('Your debts'!$F$11&lt;&gt;"",'Your debts'!$F$9&lt;&gt;"",'Your debts'!$F$11&lt;'Your debts'!$F$9),AG125,0)+IF(AND('Your debts'!$F$12&lt;&gt;"",'Your debts'!$F$9&lt;&gt;"",'Your debts'!$F$12&lt;'Your debts'!$F$9),AL125,0)+IF(AND('Your debts'!$F$13&lt;&gt;"",'Your debts'!$F$9&lt;&gt;"",'Your debts'!$F$13&lt;'Your debts'!$F$9),AQ125,0)+IF(AND('Your debts'!$F$14&lt;&gt;"",'Your debts'!$F$9&lt;&gt;"",'Your debts'!$F$14&lt;'Your debts'!$F$9),AV125,0)+IF(AND('Your debts'!$F$15&lt;&gt;"",'Your debts'!$F$9&lt;&gt;"",'Your debts'!$F$15&lt;'Your debts'!$F$9),BA125,0)))))</f>
        <v/>
      </c>
      <c r="Y125" s="33">
        <f>W125-X125</f>
        <v/>
      </c>
      <c r="Z125" s="33">
        <f>IF(AD124&lt;=0,0,ROUND(AD124*(1+'Your debts'!$D$10/1200),2))</f>
        <v/>
      </c>
      <c r="AA125" s="33">
        <f>IF(Z125&lt;=0,0,MIN('Your debts'!$E$10,Z125))</f>
        <v/>
      </c>
      <c r="AB125" s="33">
        <f>Z125-AA125</f>
        <v/>
      </c>
      <c r="AC125" s="33">
        <f>IF('Your debts'!$F$10="",0,MIN(AB125,MAX(0,MAX(0,'Your debts'!$C$19-(G125+L125+Q125+V125+AA125+AF125+AK125+AP125+AU125+AZ125))-(IF(AND('Your debts'!$F$6&lt;&gt;"",'Your debts'!$F$10&lt;&gt;"",'Your debts'!$F$6&lt;'Your debts'!$F$10),H125,0)+IF(AND('Your debts'!$F$7&lt;&gt;"",'Your debts'!$F$10&lt;&gt;"",'Your debts'!$F$7&lt;'Your debts'!$F$10),M125,0)+IF(AND('Your debts'!$F$8&lt;&gt;"",'Your debts'!$F$10&lt;&gt;"",'Your debts'!$F$8&lt;'Your debts'!$F$10),R125,0)+IF(AND('Your debts'!$F$9&lt;&gt;"",'Your debts'!$F$10&lt;&gt;"",'Your debts'!$F$9&lt;'Your debts'!$F$10),W125,0)+IF(AND('Your debts'!$F$11&lt;&gt;"",'Your debts'!$F$10&lt;&gt;"",'Your debts'!$F$11&lt;'Your debts'!$F$10),AG125,0)+IF(AND('Your debts'!$F$12&lt;&gt;"",'Your debts'!$F$10&lt;&gt;"",'Your debts'!$F$12&lt;'Your debts'!$F$10),AL125,0)+IF(AND('Your debts'!$F$13&lt;&gt;"",'Your debts'!$F$10&lt;&gt;"",'Your debts'!$F$13&lt;'Your debts'!$F$10),AQ125,0)+IF(AND('Your debts'!$F$14&lt;&gt;"",'Your debts'!$F$10&lt;&gt;"",'Your debts'!$F$14&lt;'Your debts'!$F$10),AV125,0)+IF(AND('Your debts'!$F$15&lt;&gt;"",'Your debts'!$F$10&lt;&gt;"",'Your debts'!$F$15&lt;'Your debts'!$F$10),BA125,0)))))</f>
        <v/>
      </c>
      <c r="AD125" s="33">
        <f>AB125-AC125</f>
        <v/>
      </c>
      <c r="AE125" s="33">
        <f>IF(AI124&lt;=0,0,ROUND(AI124*(1+'Your debts'!$D$11/1200),2))</f>
        <v/>
      </c>
      <c r="AF125" s="33">
        <f>IF(AE125&lt;=0,0,MIN('Your debts'!$E$11,AE125))</f>
        <v/>
      </c>
      <c r="AG125" s="33">
        <f>AE125-AF125</f>
        <v/>
      </c>
      <c r="AH125" s="33">
        <f>IF('Your debts'!$F$11="",0,MIN(AG125,MAX(0,MAX(0,'Your debts'!$C$19-(G125+L125+Q125+V125+AA125+AF125+AK125+AP125+AU125+AZ125))-(IF(AND('Your debts'!$F$6&lt;&gt;"",'Your debts'!$F$11&lt;&gt;"",'Your debts'!$F$6&lt;'Your debts'!$F$11),H125,0)+IF(AND('Your debts'!$F$7&lt;&gt;"",'Your debts'!$F$11&lt;&gt;"",'Your debts'!$F$7&lt;'Your debts'!$F$11),M125,0)+IF(AND('Your debts'!$F$8&lt;&gt;"",'Your debts'!$F$11&lt;&gt;"",'Your debts'!$F$8&lt;'Your debts'!$F$11),R125,0)+IF(AND('Your debts'!$F$9&lt;&gt;"",'Your debts'!$F$11&lt;&gt;"",'Your debts'!$F$9&lt;'Your debts'!$F$11),W125,0)+IF(AND('Your debts'!$F$10&lt;&gt;"",'Your debts'!$F$11&lt;&gt;"",'Your debts'!$F$10&lt;'Your debts'!$F$11),AB125,0)+IF(AND('Your debts'!$F$12&lt;&gt;"",'Your debts'!$F$11&lt;&gt;"",'Your debts'!$F$12&lt;'Your debts'!$F$11),AL125,0)+IF(AND('Your debts'!$F$13&lt;&gt;"",'Your debts'!$F$11&lt;&gt;"",'Your debts'!$F$13&lt;'Your debts'!$F$11),AQ125,0)+IF(AND('Your debts'!$F$14&lt;&gt;"",'Your debts'!$F$11&lt;&gt;"",'Your debts'!$F$14&lt;'Your debts'!$F$11),AV125,0)+IF(AND('Your debts'!$F$15&lt;&gt;"",'Your debts'!$F$11&lt;&gt;"",'Your debts'!$F$15&lt;'Your debts'!$F$11),BA125,0)))))</f>
        <v/>
      </c>
      <c r="AI125" s="33">
        <f>AG125-AH125</f>
        <v/>
      </c>
      <c r="AJ125" s="33">
        <f>IF(AN124&lt;=0,0,ROUND(AN124*(1+'Your debts'!$D$12/1200),2))</f>
        <v/>
      </c>
      <c r="AK125" s="33">
        <f>IF(AJ125&lt;=0,0,MIN('Your debts'!$E$12,AJ125))</f>
        <v/>
      </c>
      <c r="AL125" s="33">
        <f>AJ125-AK125</f>
        <v/>
      </c>
      <c r="AM125" s="33">
        <f>IF('Your debts'!$F$12="",0,MIN(AL125,MAX(0,MAX(0,'Your debts'!$C$19-(G125+L125+Q125+V125+AA125+AF125+AK125+AP125+AU125+AZ125))-(IF(AND('Your debts'!$F$6&lt;&gt;"",'Your debts'!$F$12&lt;&gt;"",'Your debts'!$F$6&lt;'Your debts'!$F$12),H125,0)+IF(AND('Your debts'!$F$7&lt;&gt;"",'Your debts'!$F$12&lt;&gt;"",'Your debts'!$F$7&lt;'Your debts'!$F$12),M125,0)+IF(AND('Your debts'!$F$8&lt;&gt;"",'Your debts'!$F$12&lt;&gt;"",'Your debts'!$F$8&lt;'Your debts'!$F$12),R125,0)+IF(AND('Your debts'!$F$9&lt;&gt;"",'Your debts'!$F$12&lt;&gt;"",'Your debts'!$F$9&lt;'Your debts'!$F$12),W125,0)+IF(AND('Your debts'!$F$10&lt;&gt;"",'Your debts'!$F$12&lt;&gt;"",'Your debts'!$F$10&lt;'Your debts'!$F$12),AB125,0)+IF(AND('Your debts'!$F$11&lt;&gt;"",'Your debts'!$F$12&lt;&gt;"",'Your debts'!$F$11&lt;'Your debts'!$F$12),AG125,0)+IF(AND('Your debts'!$F$13&lt;&gt;"",'Your debts'!$F$12&lt;&gt;"",'Your debts'!$F$13&lt;'Your debts'!$F$12),AQ125,0)+IF(AND('Your debts'!$F$14&lt;&gt;"",'Your debts'!$F$12&lt;&gt;"",'Your debts'!$F$14&lt;'Your debts'!$F$12),AV125,0)+IF(AND('Your debts'!$F$15&lt;&gt;"",'Your debts'!$F$12&lt;&gt;"",'Your debts'!$F$15&lt;'Your debts'!$F$12),BA125,0)))))</f>
        <v/>
      </c>
      <c r="AN125" s="33">
        <f>AL125-AM125</f>
        <v/>
      </c>
      <c r="AO125" s="33">
        <f>IF(AS124&lt;=0,0,ROUND(AS124*(1+'Your debts'!$D$13/1200),2))</f>
        <v/>
      </c>
      <c r="AP125" s="33">
        <f>IF(AO125&lt;=0,0,MIN('Your debts'!$E$13,AO125))</f>
        <v/>
      </c>
      <c r="AQ125" s="33">
        <f>AO125-AP125</f>
        <v/>
      </c>
      <c r="AR125" s="33">
        <f>IF('Your debts'!$F$13="",0,MIN(AQ125,MAX(0,MAX(0,'Your debts'!$C$19-(G125+L125+Q125+V125+AA125+AF125+AK125+AP125+AU125+AZ125))-(IF(AND('Your debts'!$F$6&lt;&gt;"",'Your debts'!$F$13&lt;&gt;"",'Your debts'!$F$6&lt;'Your debts'!$F$13),H125,0)+IF(AND('Your debts'!$F$7&lt;&gt;"",'Your debts'!$F$13&lt;&gt;"",'Your debts'!$F$7&lt;'Your debts'!$F$13),M125,0)+IF(AND('Your debts'!$F$8&lt;&gt;"",'Your debts'!$F$13&lt;&gt;"",'Your debts'!$F$8&lt;'Your debts'!$F$13),R125,0)+IF(AND('Your debts'!$F$9&lt;&gt;"",'Your debts'!$F$13&lt;&gt;"",'Your debts'!$F$9&lt;'Your debts'!$F$13),W125,0)+IF(AND('Your debts'!$F$10&lt;&gt;"",'Your debts'!$F$13&lt;&gt;"",'Your debts'!$F$10&lt;'Your debts'!$F$13),AB125,0)+IF(AND('Your debts'!$F$11&lt;&gt;"",'Your debts'!$F$13&lt;&gt;"",'Your debts'!$F$11&lt;'Your debts'!$F$13),AG125,0)+IF(AND('Your debts'!$F$12&lt;&gt;"",'Your debts'!$F$13&lt;&gt;"",'Your debts'!$F$12&lt;'Your debts'!$F$13),AL125,0)+IF(AND('Your debts'!$F$14&lt;&gt;"",'Your debts'!$F$13&lt;&gt;"",'Your debts'!$F$14&lt;'Your debts'!$F$13),AV125,0)+IF(AND('Your debts'!$F$15&lt;&gt;"",'Your debts'!$F$13&lt;&gt;"",'Your debts'!$F$15&lt;'Your debts'!$F$13),BA125,0)))))</f>
        <v/>
      </c>
      <c r="AS125" s="33">
        <f>AQ125-AR125</f>
        <v/>
      </c>
      <c r="AT125" s="33">
        <f>IF(AX124&lt;=0,0,ROUND(AX124*(1+'Your debts'!$D$14/1200),2))</f>
        <v/>
      </c>
      <c r="AU125" s="33">
        <f>IF(AT125&lt;=0,0,MIN('Your debts'!$E$14,AT125))</f>
        <v/>
      </c>
      <c r="AV125" s="33">
        <f>AT125-AU125</f>
        <v/>
      </c>
      <c r="AW125" s="33">
        <f>IF('Your debts'!$F$14="",0,MIN(AV125,MAX(0,MAX(0,'Your debts'!$C$19-(G125+L125+Q125+V125+AA125+AF125+AK125+AP125+AU125+AZ125))-(IF(AND('Your debts'!$F$6&lt;&gt;"",'Your debts'!$F$14&lt;&gt;"",'Your debts'!$F$6&lt;'Your debts'!$F$14),H125,0)+IF(AND('Your debts'!$F$7&lt;&gt;"",'Your debts'!$F$14&lt;&gt;"",'Your debts'!$F$7&lt;'Your debts'!$F$14),M125,0)+IF(AND('Your debts'!$F$8&lt;&gt;"",'Your debts'!$F$14&lt;&gt;"",'Your debts'!$F$8&lt;'Your debts'!$F$14),R125,0)+IF(AND('Your debts'!$F$9&lt;&gt;"",'Your debts'!$F$14&lt;&gt;"",'Your debts'!$F$9&lt;'Your debts'!$F$14),W125,0)+IF(AND('Your debts'!$F$10&lt;&gt;"",'Your debts'!$F$14&lt;&gt;"",'Your debts'!$F$10&lt;'Your debts'!$F$14),AB125,0)+IF(AND('Your debts'!$F$11&lt;&gt;"",'Your debts'!$F$14&lt;&gt;"",'Your debts'!$F$11&lt;'Your debts'!$F$14),AG125,0)+IF(AND('Your debts'!$F$12&lt;&gt;"",'Your debts'!$F$14&lt;&gt;"",'Your debts'!$F$12&lt;'Your debts'!$F$14),AL125,0)+IF(AND('Your debts'!$F$13&lt;&gt;"",'Your debts'!$F$14&lt;&gt;"",'Your debts'!$F$13&lt;'Your debts'!$F$14),AQ125,0)+IF(AND('Your debts'!$F$15&lt;&gt;"",'Your debts'!$F$14&lt;&gt;"",'Your debts'!$F$15&lt;'Your debts'!$F$14),BA125,0)))))</f>
        <v/>
      </c>
      <c r="AX125" s="33">
        <f>AV125-AW125</f>
        <v/>
      </c>
      <c r="AY125" s="33">
        <f>IF(BC124&lt;=0,0,ROUND(BC124*(1+'Your debts'!$D$15/1200),2))</f>
        <v/>
      </c>
      <c r="AZ125" s="33">
        <f>IF(AY125&lt;=0,0,MIN('Your debts'!$E$15,AY125))</f>
        <v/>
      </c>
      <c r="BA125" s="33">
        <f>AY125-AZ125</f>
        <v/>
      </c>
      <c r="BB125" s="33">
        <f>IF('Your debts'!$F$15="",0,MIN(BA125,MAX(0,MAX(0,'Your debts'!$C$19-(G125+L125+Q125+V125+AA125+AF125+AK125+AP125+AU125+AZ125))-(IF(AND('Your debts'!$F$6&lt;&gt;"",'Your debts'!$F$15&lt;&gt;"",'Your debts'!$F$6&lt;'Your debts'!$F$15),H125,0)+IF(AND('Your debts'!$F$7&lt;&gt;"",'Your debts'!$F$15&lt;&gt;"",'Your debts'!$F$7&lt;'Your debts'!$F$15),M125,0)+IF(AND('Your debts'!$F$8&lt;&gt;"",'Your debts'!$F$15&lt;&gt;"",'Your debts'!$F$8&lt;'Your debts'!$F$15),R125,0)+IF(AND('Your debts'!$F$9&lt;&gt;"",'Your debts'!$F$15&lt;&gt;"",'Your debts'!$F$9&lt;'Your debts'!$F$15),W125,0)+IF(AND('Your debts'!$F$10&lt;&gt;"",'Your debts'!$F$15&lt;&gt;"",'Your debts'!$F$10&lt;'Your debts'!$F$15),AB125,0)+IF(AND('Your debts'!$F$11&lt;&gt;"",'Your debts'!$F$15&lt;&gt;"",'Your debts'!$F$11&lt;'Your debts'!$F$15),AG125,0)+IF(AND('Your debts'!$F$12&lt;&gt;"",'Your debts'!$F$15&lt;&gt;"",'Your debts'!$F$12&lt;'Your debts'!$F$15),AL125,0)+IF(AND('Your debts'!$F$13&lt;&gt;"",'Your debts'!$F$15&lt;&gt;"",'Your debts'!$F$13&lt;'Your debts'!$F$15),AQ125,0)+IF(AND('Your debts'!$F$14&lt;&gt;"",'Your debts'!$F$15&lt;&gt;"",'Your debts'!$F$14&lt;'Your debts'!$F$15),AV125,0)))))</f>
        <v/>
      </c>
      <c r="BC125" s="33">
        <f>BA125-BB125</f>
        <v/>
      </c>
    </row>
    <row r="126">
      <c r="A126" s="30" t="n">
        <v>111</v>
      </c>
      <c r="B126" s="31">
        <f>EDATE($B$15,111)</f>
        <v/>
      </c>
      <c r="C126" s="32">
        <f>IF(J125&lt;=0,0,F126-J125)+IF(O125&lt;=0,0,K126-O125)+IF(T125&lt;=0,0,P126-T125)+IF(Y125&lt;=0,0,U126-Y125)+IF(AD125&lt;=0,0,Z126-AD125)+IF(AI125&lt;=0,0,AE126-AI125)+IF(AN125&lt;=0,0,AJ126-AN125)+IF(AS125&lt;=0,0,AO126-AS125)+IF(AX125&lt;=0,0,AT126-AX125)+IF(BC125&lt;=0,0,AY126-BC125)</f>
        <v/>
      </c>
      <c r="D126" s="32">
        <f>G126+I126+L126+N126+Q126+S126+V126+X126+AA126+AC126+AF126+AH126+AK126+AM126+AP126+AR126+AU126+AW126+AZ126+BB126</f>
        <v/>
      </c>
      <c r="E126" s="32">
        <f>J126+O126+T126+Y126+AD126+AI126+AN126+AS126+AX126+BC126</f>
        <v/>
      </c>
      <c r="F126" s="33">
        <f>IF(J125&lt;=0,0,ROUND(J125*(1+'Your debts'!$D$6/1200),2))</f>
        <v/>
      </c>
      <c r="G126" s="33">
        <f>IF(F126&lt;=0,0,MIN('Your debts'!$E$6,F126))</f>
        <v/>
      </c>
      <c r="H126" s="33">
        <f>F126-G126</f>
        <v/>
      </c>
      <c r="I126" s="33">
        <f>IF('Your debts'!$F$6="",0,MIN(H126,MAX(0,MAX(0,'Your debts'!$C$19-(G126+L126+Q126+V126+AA126+AF126+AK126+AP126+AU126+AZ126))-(IF(AND('Your debts'!$F$7&lt;&gt;"",'Your debts'!$F$6&lt;&gt;"",'Your debts'!$F$7&lt;'Your debts'!$F$6),M126,0)+IF(AND('Your debts'!$F$8&lt;&gt;"",'Your debts'!$F$6&lt;&gt;"",'Your debts'!$F$8&lt;'Your debts'!$F$6),R126,0)+IF(AND('Your debts'!$F$9&lt;&gt;"",'Your debts'!$F$6&lt;&gt;"",'Your debts'!$F$9&lt;'Your debts'!$F$6),W126,0)+IF(AND('Your debts'!$F$10&lt;&gt;"",'Your debts'!$F$6&lt;&gt;"",'Your debts'!$F$10&lt;'Your debts'!$F$6),AB126,0)+IF(AND('Your debts'!$F$11&lt;&gt;"",'Your debts'!$F$6&lt;&gt;"",'Your debts'!$F$11&lt;'Your debts'!$F$6),AG126,0)+IF(AND('Your debts'!$F$12&lt;&gt;"",'Your debts'!$F$6&lt;&gt;"",'Your debts'!$F$12&lt;'Your debts'!$F$6),AL126,0)+IF(AND('Your debts'!$F$13&lt;&gt;"",'Your debts'!$F$6&lt;&gt;"",'Your debts'!$F$13&lt;'Your debts'!$F$6),AQ126,0)+IF(AND('Your debts'!$F$14&lt;&gt;"",'Your debts'!$F$6&lt;&gt;"",'Your debts'!$F$14&lt;'Your debts'!$F$6),AV126,0)+IF(AND('Your debts'!$F$15&lt;&gt;"",'Your debts'!$F$6&lt;&gt;"",'Your debts'!$F$15&lt;'Your debts'!$F$6),BA126,0)))))</f>
        <v/>
      </c>
      <c r="J126" s="33">
        <f>H126-I126</f>
        <v/>
      </c>
      <c r="K126" s="33">
        <f>IF(O125&lt;=0,0,ROUND(O125*(1+'Your debts'!$D$7/1200),2))</f>
        <v/>
      </c>
      <c r="L126" s="33">
        <f>IF(K126&lt;=0,0,MIN('Your debts'!$E$7,K126))</f>
        <v/>
      </c>
      <c r="M126" s="33">
        <f>K126-L126</f>
        <v/>
      </c>
      <c r="N126" s="33">
        <f>IF('Your debts'!$F$7="",0,MIN(M126,MAX(0,MAX(0,'Your debts'!$C$19-(G126+L126+Q126+V126+AA126+AF126+AK126+AP126+AU126+AZ126))-(IF(AND('Your debts'!$F$6&lt;&gt;"",'Your debts'!$F$7&lt;&gt;"",'Your debts'!$F$6&lt;'Your debts'!$F$7),H126,0)+IF(AND('Your debts'!$F$8&lt;&gt;"",'Your debts'!$F$7&lt;&gt;"",'Your debts'!$F$8&lt;'Your debts'!$F$7),R126,0)+IF(AND('Your debts'!$F$9&lt;&gt;"",'Your debts'!$F$7&lt;&gt;"",'Your debts'!$F$9&lt;'Your debts'!$F$7),W126,0)+IF(AND('Your debts'!$F$10&lt;&gt;"",'Your debts'!$F$7&lt;&gt;"",'Your debts'!$F$10&lt;'Your debts'!$F$7),AB126,0)+IF(AND('Your debts'!$F$11&lt;&gt;"",'Your debts'!$F$7&lt;&gt;"",'Your debts'!$F$11&lt;'Your debts'!$F$7),AG126,0)+IF(AND('Your debts'!$F$12&lt;&gt;"",'Your debts'!$F$7&lt;&gt;"",'Your debts'!$F$12&lt;'Your debts'!$F$7),AL126,0)+IF(AND('Your debts'!$F$13&lt;&gt;"",'Your debts'!$F$7&lt;&gt;"",'Your debts'!$F$13&lt;'Your debts'!$F$7),AQ126,0)+IF(AND('Your debts'!$F$14&lt;&gt;"",'Your debts'!$F$7&lt;&gt;"",'Your debts'!$F$14&lt;'Your debts'!$F$7),AV126,0)+IF(AND('Your debts'!$F$15&lt;&gt;"",'Your debts'!$F$7&lt;&gt;"",'Your debts'!$F$15&lt;'Your debts'!$F$7),BA126,0)))))</f>
        <v/>
      </c>
      <c r="O126" s="33">
        <f>M126-N126</f>
        <v/>
      </c>
      <c r="P126" s="33">
        <f>IF(T125&lt;=0,0,ROUND(T125*(1+'Your debts'!$D$8/1200),2))</f>
        <v/>
      </c>
      <c r="Q126" s="33">
        <f>IF(P126&lt;=0,0,MIN('Your debts'!$E$8,P126))</f>
        <v/>
      </c>
      <c r="R126" s="33">
        <f>P126-Q126</f>
        <v/>
      </c>
      <c r="S126" s="33">
        <f>IF('Your debts'!$F$8="",0,MIN(R126,MAX(0,MAX(0,'Your debts'!$C$19-(G126+L126+Q126+V126+AA126+AF126+AK126+AP126+AU126+AZ126))-(IF(AND('Your debts'!$F$6&lt;&gt;"",'Your debts'!$F$8&lt;&gt;"",'Your debts'!$F$6&lt;'Your debts'!$F$8),H126,0)+IF(AND('Your debts'!$F$7&lt;&gt;"",'Your debts'!$F$8&lt;&gt;"",'Your debts'!$F$7&lt;'Your debts'!$F$8),M126,0)+IF(AND('Your debts'!$F$9&lt;&gt;"",'Your debts'!$F$8&lt;&gt;"",'Your debts'!$F$9&lt;'Your debts'!$F$8),W126,0)+IF(AND('Your debts'!$F$10&lt;&gt;"",'Your debts'!$F$8&lt;&gt;"",'Your debts'!$F$10&lt;'Your debts'!$F$8),AB126,0)+IF(AND('Your debts'!$F$11&lt;&gt;"",'Your debts'!$F$8&lt;&gt;"",'Your debts'!$F$11&lt;'Your debts'!$F$8),AG126,0)+IF(AND('Your debts'!$F$12&lt;&gt;"",'Your debts'!$F$8&lt;&gt;"",'Your debts'!$F$12&lt;'Your debts'!$F$8),AL126,0)+IF(AND('Your debts'!$F$13&lt;&gt;"",'Your debts'!$F$8&lt;&gt;"",'Your debts'!$F$13&lt;'Your debts'!$F$8),AQ126,0)+IF(AND('Your debts'!$F$14&lt;&gt;"",'Your debts'!$F$8&lt;&gt;"",'Your debts'!$F$14&lt;'Your debts'!$F$8),AV126,0)+IF(AND('Your debts'!$F$15&lt;&gt;"",'Your debts'!$F$8&lt;&gt;"",'Your debts'!$F$15&lt;'Your debts'!$F$8),BA126,0)))))</f>
        <v/>
      </c>
      <c r="T126" s="33">
        <f>R126-S126</f>
        <v/>
      </c>
      <c r="U126" s="33">
        <f>IF(Y125&lt;=0,0,ROUND(Y125*(1+'Your debts'!$D$9/1200),2))</f>
        <v/>
      </c>
      <c r="V126" s="33">
        <f>IF(U126&lt;=0,0,MIN('Your debts'!$E$9,U126))</f>
        <v/>
      </c>
      <c r="W126" s="33">
        <f>U126-V126</f>
        <v/>
      </c>
      <c r="X126" s="33">
        <f>IF('Your debts'!$F$9="",0,MIN(W126,MAX(0,MAX(0,'Your debts'!$C$19-(G126+L126+Q126+V126+AA126+AF126+AK126+AP126+AU126+AZ126))-(IF(AND('Your debts'!$F$6&lt;&gt;"",'Your debts'!$F$9&lt;&gt;"",'Your debts'!$F$6&lt;'Your debts'!$F$9),H126,0)+IF(AND('Your debts'!$F$7&lt;&gt;"",'Your debts'!$F$9&lt;&gt;"",'Your debts'!$F$7&lt;'Your debts'!$F$9),M126,0)+IF(AND('Your debts'!$F$8&lt;&gt;"",'Your debts'!$F$9&lt;&gt;"",'Your debts'!$F$8&lt;'Your debts'!$F$9),R126,0)+IF(AND('Your debts'!$F$10&lt;&gt;"",'Your debts'!$F$9&lt;&gt;"",'Your debts'!$F$10&lt;'Your debts'!$F$9),AB126,0)+IF(AND('Your debts'!$F$11&lt;&gt;"",'Your debts'!$F$9&lt;&gt;"",'Your debts'!$F$11&lt;'Your debts'!$F$9),AG126,0)+IF(AND('Your debts'!$F$12&lt;&gt;"",'Your debts'!$F$9&lt;&gt;"",'Your debts'!$F$12&lt;'Your debts'!$F$9),AL126,0)+IF(AND('Your debts'!$F$13&lt;&gt;"",'Your debts'!$F$9&lt;&gt;"",'Your debts'!$F$13&lt;'Your debts'!$F$9),AQ126,0)+IF(AND('Your debts'!$F$14&lt;&gt;"",'Your debts'!$F$9&lt;&gt;"",'Your debts'!$F$14&lt;'Your debts'!$F$9),AV126,0)+IF(AND('Your debts'!$F$15&lt;&gt;"",'Your debts'!$F$9&lt;&gt;"",'Your debts'!$F$15&lt;'Your debts'!$F$9),BA126,0)))))</f>
        <v/>
      </c>
      <c r="Y126" s="33">
        <f>W126-X126</f>
        <v/>
      </c>
      <c r="Z126" s="33">
        <f>IF(AD125&lt;=0,0,ROUND(AD125*(1+'Your debts'!$D$10/1200),2))</f>
        <v/>
      </c>
      <c r="AA126" s="33">
        <f>IF(Z126&lt;=0,0,MIN('Your debts'!$E$10,Z126))</f>
        <v/>
      </c>
      <c r="AB126" s="33">
        <f>Z126-AA126</f>
        <v/>
      </c>
      <c r="AC126" s="33">
        <f>IF('Your debts'!$F$10="",0,MIN(AB126,MAX(0,MAX(0,'Your debts'!$C$19-(G126+L126+Q126+V126+AA126+AF126+AK126+AP126+AU126+AZ126))-(IF(AND('Your debts'!$F$6&lt;&gt;"",'Your debts'!$F$10&lt;&gt;"",'Your debts'!$F$6&lt;'Your debts'!$F$10),H126,0)+IF(AND('Your debts'!$F$7&lt;&gt;"",'Your debts'!$F$10&lt;&gt;"",'Your debts'!$F$7&lt;'Your debts'!$F$10),M126,0)+IF(AND('Your debts'!$F$8&lt;&gt;"",'Your debts'!$F$10&lt;&gt;"",'Your debts'!$F$8&lt;'Your debts'!$F$10),R126,0)+IF(AND('Your debts'!$F$9&lt;&gt;"",'Your debts'!$F$10&lt;&gt;"",'Your debts'!$F$9&lt;'Your debts'!$F$10),W126,0)+IF(AND('Your debts'!$F$11&lt;&gt;"",'Your debts'!$F$10&lt;&gt;"",'Your debts'!$F$11&lt;'Your debts'!$F$10),AG126,0)+IF(AND('Your debts'!$F$12&lt;&gt;"",'Your debts'!$F$10&lt;&gt;"",'Your debts'!$F$12&lt;'Your debts'!$F$10),AL126,0)+IF(AND('Your debts'!$F$13&lt;&gt;"",'Your debts'!$F$10&lt;&gt;"",'Your debts'!$F$13&lt;'Your debts'!$F$10),AQ126,0)+IF(AND('Your debts'!$F$14&lt;&gt;"",'Your debts'!$F$10&lt;&gt;"",'Your debts'!$F$14&lt;'Your debts'!$F$10),AV126,0)+IF(AND('Your debts'!$F$15&lt;&gt;"",'Your debts'!$F$10&lt;&gt;"",'Your debts'!$F$15&lt;'Your debts'!$F$10),BA126,0)))))</f>
        <v/>
      </c>
      <c r="AD126" s="33">
        <f>AB126-AC126</f>
        <v/>
      </c>
      <c r="AE126" s="33">
        <f>IF(AI125&lt;=0,0,ROUND(AI125*(1+'Your debts'!$D$11/1200),2))</f>
        <v/>
      </c>
      <c r="AF126" s="33">
        <f>IF(AE126&lt;=0,0,MIN('Your debts'!$E$11,AE126))</f>
        <v/>
      </c>
      <c r="AG126" s="33">
        <f>AE126-AF126</f>
        <v/>
      </c>
      <c r="AH126" s="33">
        <f>IF('Your debts'!$F$11="",0,MIN(AG126,MAX(0,MAX(0,'Your debts'!$C$19-(G126+L126+Q126+V126+AA126+AF126+AK126+AP126+AU126+AZ126))-(IF(AND('Your debts'!$F$6&lt;&gt;"",'Your debts'!$F$11&lt;&gt;"",'Your debts'!$F$6&lt;'Your debts'!$F$11),H126,0)+IF(AND('Your debts'!$F$7&lt;&gt;"",'Your debts'!$F$11&lt;&gt;"",'Your debts'!$F$7&lt;'Your debts'!$F$11),M126,0)+IF(AND('Your debts'!$F$8&lt;&gt;"",'Your debts'!$F$11&lt;&gt;"",'Your debts'!$F$8&lt;'Your debts'!$F$11),R126,0)+IF(AND('Your debts'!$F$9&lt;&gt;"",'Your debts'!$F$11&lt;&gt;"",'Your debts'!$F$9&lt;'Your debts'!$F$11),W126,0)+IF(AND('Your debts'!$F$10&lt;&gt;"",'Your debts'!$F$11&lt;&gt;"",'Your debts'!$F$10&lt;'Your debts'!$F$11),AB126,0)+IF(AND('Your debts'!$F$12&lt;&gt;"",'Your debts'!$F$11&lt;&gt;"",'Your debts'!$F$12&lt;'Your debts'!$F$11),AL126,0)+IF(AND('Your debts'!$F$13&lt;&gt;"",'Your debts'!$F$11&lt;&gt;"",'Your debts'!$F$13&lt;'Your debts'!$F$11),AQ126,0)+IF(AND('Your debts'!$F$14&lt;&gt;"",'Your debts'!$F$11&lt;&gt;"",'Your debts'!$F$14&lt;'Your debts'!$F$11),AV126,0)+IF(AND('Your debts'!$F$15&lt;&gt;"",'Your debts'!$F$11&lt;&gt;"",'Your debts'!$F$15&lt;'Your debts'!$F$11),BA126,0)))))</f>
        <v/>
      </c>
      <c r="AI126" s="33">
        <f>AG126-AH126</f>
        <v/>
      </c>
      <c r="AJ126" s="33">
        <f>IF(AN125&lt;=0,0,ROUND(AN125*(1+'Your debts'!$D$12/1200),2))</f>
        <v/>
      </c>
      <c r="AK126" s="33">
        <f>IF(AJ126&lt;=0,0,MIN('Your debts'!$E$12,AJ126))</f>
        <v/>
      </c>
      <c r="AL126" s="33">
        <f>AJ126-AK126</f>
        <v/>
      </c>
      <c r="AM126" s="33">
        <f>IF('Your debts'!$F$12="",0,MIN(AL126,MAX(0,MAX(0,'Your debts'!$C$19-(G126+L126+Q126+V126+AA126+AF126+AK126+AP126+AU126+AZ126))-(IF(AND('Your debts'!$F$6&lt;&gt;"",'Your debts'!$F$12&lt;&gt;"",'Your debts'!$F$6&lt;'Your debts'!$F$12),H126,0)+IF(AND('Your debts'!$F$7&lt;&gt;"",'Your debts'!$F$12&lt;&gt;"",'Your debts'!$F$7&lt;'Your debts'!$F$12),M126,0)+IF(AND('Your debts'!$F$8&lt;&gt;"",'Your debts'!$F$12&lt;&gt;"",'Your debts'!$F$8&lt;'Your debts'!$F$12),R126,0)+IF(AND('Your debts'!$F$9&lt;&gt;"",'Your debts'!$F$12&lt;&gt;"",'Your debts'!$F$9&lt;'Your debts'!$F$12),W126,0)+IF(AND('Your debts'!$F$10&lt;&gt;"",'Your debts'!$F$12&lt;&gt;"",'Your debts'!$F$10&lt;'Your debts'!$F$12),AB126,0)+IF(AND('Your debts'!$F$11&lt;&gt;"",'Your debts'!$F$12&lt;&gt;"",'Your debts'!$F$11&lt;'Your debts'!$F$12),AG126,0)+IF(AND('Your debts'!$F$13&lt;&gt;"",'Your debts'!$F$12&lt;&gt;"",'Your debts'!$F$13&lt;'Your debts'!$F$12),AQ126,0)+IF(AND('Your debts'!$F$14&lt;&gt;"",'Your debts'!$F$12&lt;&gt;"",'Your debts'!$F$14&lt;'Your debts'!$F$12),AV126,0)+IF(AND('Your debts'!$F$15&lt;&gt;"",'Your debts'!$F$12&lt;&gt;"",'Your debts'!$F$15&lt;'Your debts'!$F$12),BA126,0)))))</f>
        <v/>
      </c>
      <c r="AN126" s="33">
        <f>AL126-AM126</f>
        <v/>
      </c>
      <c r="AO126" s="33">
        <f>IF(AS125&lt;=0,0,ROUND(AS125*(1+'Your debts'!$D$13/1200),2))</f>
        <v/>
      </c>
      <c r="AP126" s="33">
        <f>IF(AO126&lt;=0,0,MIN('Your debts'!$E$13,AO126))</f>
        <v/>
      </c>
      <c r="AQ126" s="33">
        <f>AO126-AP126</f>
        <v/>
      </c>
      <c r="AR126" s="33">
        <f>IF('Your debts'!$F$13="",0,MIN(AQ126,MAX(0,MAX(0,'Your debts'!$C$19-(G126+L126+Q126+V126+AA126+AF126+AK126+AP126+AU126+AZ126))-(IF(AND('Your debts'!$F$6&lt;&gt;"",'Your debts'!$F$13&lt;&gt;"",'Your debts'!$F$6&lt;'Your debts'!$F$13),H126,0)+IF(AND('Your debts'!$F$7&lt;&gt;"",'Your debts'!$F$13&lt;&gt;"",'Your debts'!$F$7&lt;'Your debts'!$F$13),M126,0)+IF(AND('Your debts'!$F$8&lt;&gt;"",'Your debts'!$F$13&lt;&gt;"",'Your debts'!$F$8&lt;'Your debts'!$F$13),R126,0)+IF(AND('Your debts'!$F$9&lt;&gt;"",'Your debts'!$F$13&lt;&gt;"",'Your debts'!$F$9&lt;'Your debts'!$F$13),W126,0)+IF(AND('Your debts'!$F$10&lt;&gt;"",'Your debts'!$F$13&lt;&gt;"",'Your debts'!$F$10&lt;'Your debts'!$F$13),AB126,0)+IF(AND('Your debts'!$F$11&lt;&gt;"",'Your debts'!$F$13&lt;&gt;"",'Your debts'!$F$11&lt;'Your debts'!$F$13),AG126,0)+IF(AND('Your debts'!$F$12&lt;&gt;"",'Your debts'!$F$13&lt;&gt;"",'Your debts'!$F$12&lt;'Your debts'!$F$13),AL126,0)+IF(AND('Your debts'!$F$14&lt;&gt;"",'Your debts'!$F$13&lt;&gt;"",'Your debts'!$F$14&lt;'Your debts'!$F$13),AV126,0)+IF(AND('Your debts'!$F$15&lt;&gt;"",'Your debts'!$F$13&lt;&gt;"",'Your debts'!$F$15&lt;'Your debts'!$F$13),BA126,0)))))</f>
        <v/>
      </c>
      <c r="AS126" s="33">
        <f>AQ126-AR126</f>
        <v/>
      </c>
      <c r="AT126" s="33">
        <f>IF(AX125&lt;=0,0,ROUND(AX125*(1+'Your debts'!$D$14/1200),2))</f>
        <v/>
      </c>
      <c r="AU126" s="33">
        <f>IF(AT126&lt;=0,0,MIN('Your debts'!$E$14,AT126))</f>
        <v/>
      </c>
      <c r="AV126" s="33">
        <f>AT126-AU126</f>
        <v/>
      </c>
      <c r="AW126" s="33">
        <f>IF('Your debts'!$F$14="",0,MIN(AV126,MAX(0,MAX(0,'Your debts'!$C$19-(G126+L126+Q126+V126+AA126+AF126+AK126+AP126+AU126+AZ126))-(IF(AND('Your debts'!$F$6&lt;&gt;"",'Your debts'!$F$14&lt;&gt;"",'Your debts'!$F$6&lt;'Your debts'!$F$14),H126,0)+IF(AND('Your debts'!$F$7&lt;&gt;"",'Your debts'!$F$14&lt;&gt;"",'Your debts'!$F$7&lt;'Your debts'!$F$14),M126,0)+IF(AND('Your debts'!$F$8&lt;&gt;"",'Your debts'!$F$14&lt;&gt;"",'Your debts'!$F$8&lt;'Your debts'!$F$14),R126,0)+IF(AND('Your debts'!$F$9&lt;&gt;"",'Your debts'!$F$14&lt;&gt;"",'Your debts'!$F$9&lt;'Your debts'!$F$14),W126,0)+IF(AND('Your debts'!$F$10&lt;&gt;"",'Your debts'!$F$14&lt;&gt;"",'Your debts'!$F$10&lt;'Your debts'!$F$14),AB126,0)+IF(AND('Your debts'!$F$11&lt;&gt;"",'Your debts'!$F$14&lt;&gt;"",'Your debts'!$F$11&lt;'Your debts'!$F$14),AG126,0)+IF(AND('Your debts'!$F$12&lt;&gt;"",'Your debts'!$F$14&lt;&gt;"",'Your debts'!$F$12&lt;'Your debts'!$F$14),AL126,0)+IF(AND('Your debts'!$F$13&lt;&gt;"",'Your debts'!$F$14&lt;&gt;"",'Your debts'!$F$13&lt;'Your debts'!$F$14),AQ126,0)+IF(AND('Your debts'!$F$15&lt;&gt;"",'Your debts'!$F$14&lt;&gt;"",'Your debts'!$F$15&lt;'Your debts'!$F$14),BA126,0)))))</f>
        <v/>
      </c>
      <c r="AX126" s="33">
        <f>AV126-AW126</f>
        <v/>
      </c>
      <c r="AY126" s="33">
        <f>IF(BC125&lt;=0,0,ROUND(BC125*(1+'Your debts'!$D$15/1200),2))</f>
        <v/>
      </c>
      <c r="AZ126" s="33">
        <f>IF(AY126&lt;=0,0,MIN('Your debts'!$E$15,AY126))</f>
        <v/>
      </c>
      <c r="BA126" s="33">
        <f>AY126-AZ126</f>
        <v/>
      </c>
      <c r="BB126" s="33">
        <f>IF('Your debts'!$F$15="",0,MIN(BA126,MAX(0,MAX(0,'Your debts'!$C$19-(G126+L126+Q126+V126+AA126+AF126+AK126+AP126+AU126+AZ126))-(IF(AND('Your debts'!$F$6&lt;&gt;"",'Your debts'!$F$15&lt;&gt;"",'Your debts'!$F$6&lt;'Your debts'!$F$15),H126,0)+IF(AND('Your debts'!$F$7&lt;&gt;"",'Your debts'!$F$15&lt;&gt;"",'Your debts'!$F$7&lt;'Your debts'!$F$15),M126,0)+IF(AND('Your debts'!$F$8&lt;&gt;"",'Your debts'!$F$15&lt;&gt;"",'Your debts'!$F$8&lt;'Your debts'!$F$15),R126,0)+IF(AND('Your debts'!$F$9&lt;&gt;"",'Your debts'!$F$15&lt;&gt;"",'Your debts'!$F$9&lt;'Your debts'!$F$15),W126,0)+IF(AND('Your debts'!$F$10&lt;&gt;"",'Your debts'!$F$15&lt;&gt;"",'Your debts'!$F$10&lt;'Your debts'!$F$15),AB126,0)+IF(AND('Your debts'!$F$11&lt;&gt;"",'Your debts'!$F$15&lt;&gt;"",'Your debts'!$F$11&lt;'Your debts'!$F$15),AG126,0)+IF(AND('Your debts'!$F$12&lt;&gt;"",'Your debts'!$F$15&lt;&gt;"",'Your debts'!$F$12&lt;'Your debts'!$F$15),AL126,0)+IF(AND('Your debts'!$F$13&lt;&gt;"",'Your debts'!$F$15&lt;&gt;"",'Your debts'!$F$13&lt;'Your debts'!$F$15),AQ126,0)+IF(AND('Your debts'!$F$14&lt;&gt;"",'Your debts'!$F$15&lt;&gt;"",'Your debts'!$F$14&lt;'Your debts'!$F$15),AV126,0)))))</f>
        <v/>
      </c>
      <c r="BC126" s="33">
        <f>BA126-BB126</f>
        <v/>
      </c>
    </row>
    <row r="127">
      <c r="A127" s="30" t="n">
        <v>112</v>
      </c>
      <c r="B127" s="31">
        <f>EDATE($B$15,112)</f>
        <v/>
      </c>
      <c r="C127" s="32">
        <f>IF(J126&lt;=0,0,F127-J126)+IF(O126&lt;=0,0,K127-O126)+IF(T126&lt;=0,0,P127-T126)+IF(Y126&lt;=0,0,U127-Y126)+IF(AD126&lt;=0,0,Z127-AD126)+IF(AI126&lt;=0,0,AE127-AI126)+IF(AN126&lt;=0,0,AJ127-AN126)+IF(AS126&lt;=0,0,AO127-AS126)+IF(AX126&lt;=0,0,AT127-AX126)+IF(BC126&lt;=0,0,AY127-BC126)</f>
        <v/>
      </c>
      <c r="D127" s="32">
        <f>G127+I127+L127+N127+Q127+S127+V127+X127+AA127+AC127+AF127+AH127+AK127+AM127+AP127+AR127+AU127+AW127+AZ127+BB127</f>
        <v/>
      </c>
      <c r="E127" s="32">
        <f>J127+O127+T127+Y127+AD127+AI127+AN127+AS127+AX127+BC127</f>
        <v/>
      </c>
      <c r="F127" s="33">
        <f>IF(J126&lt;=0,0,ROUND(J126*(1+'Your debts'!$D$6/1200),2))</f>
        <v/>
      </c>
      <c r="G127" s="33">
        <f>IF(F127&lt;=0,0,MIN('Your debts'!$E$6,F127))</f>
        <v/>
      </c>
      <c r="H127" s="33">
        <f>F127-G127</f>
        <v/>
      </c>
      <c r="I127" s="33">
        <f>IF('Your debts'!$F$6="",0,MIN(H127,MAX(0,MAX(0,'Your debts'!$C$19-(G127+L127+Q127+V127+AA127+AF127+AK127+AP127+AU127+AZ127))-(IF(AND('Your debts'!$F$7&lt;&gt;"",'Your debts'!$F$6&lt;&gt;"",'Your debts'!$F$7&lt;'Your debts'!$F$6),M127,0)+IF(AND('Your debts'!$F$8&lt;&gt;"",'Your debts'!$F$6&lt;&gt;"",'Your debts'!$F$8&lt;'Your debts'!$F$6),R127,0)+IF(AND('Your debts'!$F$9&lt;&gt;"",'Your debts'!$F$6&lt;&gt;"",'Your debts'!$F$9&lt;'Your debts'!$F$6),W127,0)+IF(AND('Your debts'!$F$10&lt;&gt;"",'Your debts'!$F$6&lt;&gt;"",'Your debts'!$F$10&lt;'Your debts'!$F$6),AB127,0)+IF(AND('Your debts'!$F$11&lt;&gt;"",'Your debts'!$F$6&lt;&gt;"",'Your debts'!$F$11&lt;'Your debts'!$F$6),AG127,0)+IF(AND('Your debts'!$F$12&lt;&gt;"",'Your debts'!$F$6&lt;&gt;"",'Your debts'!$F$12&lt;'Your debts'!$F$6),AL127,0)+IF(AND('Your debts'!$F$13&lt;&gt;"",'Your debts'!$F$6&lt;&gt;"",'Your debts'!$F$13&lt;'Your debts'!$F$6),AQ127,0)+IF(AND('Your debts'!$F$14&lt;&gt;"",'Your debts'!$F$6&lt;&gt;"",'Your debts'!$F$14&lt;'Your debts'!$F$6),AV127,0)+IF(AND('Your debts'!$F$15&lt;&gt;"",'Your debts'!$F$6&lt;&gt;"",'Your debts'!$F$15&lt;'Your debts'!$F$6),BA127,0)))))</f>
        <v/>
      </c>
      <c r="J127" s="33">
        <f>H127-I127</f>
        <v/>
      </c>
      <c r="K127" s="33">
        <f>IF(O126&lt;=0,0,ROUND(O126*(1+'Your debts'!$D$7/1200),2))</f>
        <v/>
      </c>
      <c r="L127" s="33">
        <f>IF(K127&lt;=0,0,MIN('Your debts'!$E$7,K127))</f>
        <v/>
      </c>
      <c r="M127" s="33">
        <f>K127-L127</f>
        <v/>
      </c>
      <c r="N127" s="33">
        <f>IF('Your debts'!$F$7="",0,MIN(M127,MAX(0,MAX(0,'Your debts'!$C$19-(G127+L127+Q127+V127+AA127+AF127+AK127+AP127+AU127+AZ127))-(IF(AND('Your debts'!$F$6&lt;&gt;"",'Your debts'!$F$7&lt;&gt;"",'Your debts'!$F$6&lt;'Your debts'!$F$7),H127,0)+IF(AND('Your debts'!$F$8&lt;&gt;"",'Your debts'!$F$7&lt;&gt;"",'Your debts'!$F$8&lt;'Your debts'!$F$7),R127,0)+IF(AND('Your debts'!$F$9&lt;&gt;"",'Your debts'!$F$7&lt;&gt;"",'Your debts'!$F$9&lt;'Your debts'!$F$7),W127,0)+IF(AND('Your debts'!$F$10&lt;&gt;"",'Your debts'!$F$7&lt;&gt;"",'Your debts'!$F$10&lt;'Your debts'!$F$7),AB127,0)+IF(AND('Your debts'!$F$11&lt;&gt;"",'Your debts'!$F$7&lt;&gt;"",'Your debts'!$F$11&lt;'Your debts'!$F$7),AG127,0)+IF(AND('Your debts'!$F$12&lt;&gt;"",'Your debts'!$F$7&lt;&gt;"",'Your debts'!$F$12&lt;'Your debts'!$F$7),AL127,0)+IF(AND('Your debts'!$F$13&lt;&gt;"",'Your debts'!$F$7&lt;&gt;"",'Your debts'!$F$13&lt;'Your debts'!$F$7),AQ127,0)+IF(AND('Your debts'!$F$14&lt;&gt;"",'Your debts'!$F$7&lt;&gt;"",'Your debts'!$F$14&lt;'Your debts'!$F$7),AV127,0)+IF(AND('Your debts'!$F$15&lt;&gt;"",'Your debts'!$F$7&lt;&gt;"",'Your debts'!$F$15&lt;'Your debts'!$F$7),BA127,0)))))</f>
        <v/>
      </c>
      <c r="O127" s="33">
        <f>M127-N127</f>
        <v/>
      </c>
      <c r="P127" s="33">
        <f>IF(T126&lt;=0,0,ROUND(T126*(1+'Your debts'!$D$8/1200),2))</f>
        <v/>
      </c>
      <c r="Q127" s="33">
        <f>IF(P127&lt;=0,0,MIN('Your debts'!$E$8,P127))</f>
        <v/>
      </c>
      <c r="R127" s="33">
        <f>P127-Q127</f>
        <v/>
      </c>
      <c r="S127" s="33">
        <f>IF('Your debts'!$F$8="",0,MIN(R127,MAX(0,MAX(0,'Your debts'!$C$19-(G127+L127+Q127+V127+AA127+AF127+AK127+AP127+AU127+AZ127))-(IF(AND('Your debts'!$F$6&lt;&gt;"",'Your debts'!$F$8&lt;&gt;"",'Your debts'!$F$6&lt;'Your debts'!$F$8),H127,0)+IF(AND('Your debts'!$F$7&lt;&gt;"",'Your debts'!$F$8&lt;&gt;"",'Your debts'!$F$7&lt;'Your debts'!$F$8),M127,0)+IF(AND('Your debts'!$F$9&lt;&gt;"",'Your debts'!$F$8&lt;&gt;"",'Your debts'!$F$9&lt;'Your debts'!$F$8),W127,0)+IF(AND('Your debts'!$F$10&lt;&gt;"",'Your debts'!$F$8&lt;&gt;"",'Your debts'!$F$10&lt;'Your debts'!$F$8),AB127,0)+IF(AND('Your debts'!$F$11&lt;&gt;"",'Your debts'!$F$8&lt;&gt;"",'Your debts'!$F$11&lt;'Your debts'!$F$8),AG127,0)+IF(AND('Your debts'!$F$12&lt;&gt;"",'Your debts'!$F$8&lt;&gt;"",'Your debts'!$F$12&lt;'Your debts'!$F$8),AL127,0)+IF(AND('Your debts'!$F$13&lt;&gt;"",'Your debts'!$F$8&lt;&gt;"",'Your debts'!$F$13&lt;'Your debts'!$F$8),AQ127,0)+IF(AND('Your debts'!$F$14&lt;&gt;"",'Your debts'!$F$8&lt;&gt;"",'Your debts'!$F$14&lt;'Your debts'!$F$8),AV127,0)+IF(AND('Your debts'!$F$15&lt;&gt;"",'Your debts'!$F$8&lt;&gt;"",'Your debts'!$F$15&lt;'Your debts'!$F$8),BA127,0)))))</f>
        <v/>
      </c>
      <c r="T127" s="33">
        <f>R127-S127</f>
        <v/>
      </c>
      <c r="U127" s="33">
        <f>IF(Y126&lt;=0,0,ROUND(Y126*(1+'Your debts'!$D$9/1200),2))</f>
        <v/>
      </c>
      <c r="V127" s="33">
        <f>IF(U127&lt;=0,0,MIN('Your debts'!$E$9,U127))</f>
        <v/>
      </c>
      <c r="W127" s="33">
        <f>U127-V127</f>
        <v/>
      </c>
      <c r="X127" s="33">
        <f>IF('Your debts'!$F$9="",0,MIN(W127,MAX(0,MAX(0,'Your debts'!$C$19-(G127+L127+Q127+V127+AA127+AF127+AK127+AP127+AU127+AZ127))-(IF(AND('Your debts'!$F$6&lt;&gt;"",'Your debts'!$F$9&lt;&gt;"",'Your debts'!$F$6&lt;'Your debts'!$F$9),H127,0)+IF(AND('Your debts'!$F$7&lt;&gt;"",'Your debts'!$F$9&lt;&gt;"",'Your debts'!$F$7&lt;'Your debts'!$F$9),M127,0)+IF(AND('Your debts'!$F$8&lt;&gt;"",'Your debts'!$F$9&lt;&gt;"",'Your debts'!$F$8&lt;'Your debts'!$F$9),R127,0)+IF(AND('Your debts'!$F$10&lt;&gt;"",'Your debts'!$F$9&lt;&gt;"",'Your debts'!$F$10&lt;'Your debts'!$F$9),AB127,0)+IF(AND('Your debts'!$F$11&lt;&gt;"",'Your debts'!$F$9&lt;&gt;"",'Your debts'!$F$11&lt;'Your debts'!$F$9),AG127,0)+IF(AND('Your debts'!$F$12&lt;&gt;"",'Your debts'!$F$9&lt;&gt;"",'Your debts'!$F$12&lt;'Your debts'!$F$9),AL127,0)+IF(AND('Your debts'!$F$13&lt;&gt;"",'Your debts'!$F$9&lt;&gt;"",'Your debts'!$F$13&lt;'Your debts'!$F$9),AQ127,0)+IF(AND('Your debts'!$F$14&lt;&gt;"",'Your debts'!$F$9&lt;&gt;"",'Your debts'!$F$14&lt;'Your debts'!$F$9),AV127,0)+IF(AND('Your debts'!$F$15&lt;&gt;"",'Your debts'!$F$9&lt;&gt;"",'Your debts'!$F$15&lt;'Your debts'!$F$9),BA127,0)))))</f>
        <v/>
      </c>
      <c r="Y127" s="33">
        <f>W127-X127</f>
        <v/>
      </c>
      <c r="Z127" s="33">
        <f>IF(AD126&lt;=0,0,ROUND(AD126*(1+'Your debts'!$D$10/1200),2))</f>
        <v/>
      </c>
      <c r="AA127" s="33">
        <f>IF(Z127&lt;=0,0,MIN('Your debts'!$E$10,Z127))</f>
        <v/>
      </c>
      <c r="AB127" s="33">
        <f>Z127-AA127</f>
        <v/>
      </c>
      <c r="AC127" s="33">
        <f>IF('Your debts'!$F$10="",0,MIN(AB127,MAX(0,MAX(0,'Your debts'!$C$19-(G127+L127+Q127+V127+AA127+AF127+AK127+AP127+AU127+AZ127))-(IF(AND('Your debts'!$F$6&lt;&gt;"",'Your debts'!$F$10&lt;&gt;"",'Your debts'!$F$6&lt;'Your debts'!$F$10),H127,0)+IF(AND('Your debts'!$F$7&lt;&gt;"",'Your debts'!$F$10&lt;&gt;"",'Your debts'!$F$7&lt;'Your debts'!$F$10),M127,0)+IF(AND('Your debts'!$F$8&lt;&gt;"",'Your debts'!$F$10&lt;&gt;"",'Your debts'!$F$8&lt;'Your debts'!$F$10),R127,0)+IF(AND('Your debts'!$F$9&lt;&gt;"",'Your debts'!$F$10&lt;&gt;"",'Your debts'!$F$9&lt;'Your debts'!$F$10),W127,0)+IF(AND('Your debts'!$F$11&lt;&gt;"",'Your debts'!$F$10&lt;&gt;"",'Your debts'!$F$11&lt;'Your debts'!$F$10),AG127,0)+IF(AND('Your debts'!$F$12&lt;&gt;"",'Your debts'!$F$10&lt;&gt;"",'Your debts'!$F$12&lt;'Your debts'!$F$10),AL127,0)+IF(AND('Your debts'!$F$13&lt;&gt;"",'Your debts'!$F$10&lt;&gt;"",'Your debts'!$F$13&lt;'Your debts'!$F$10),AQ127,0)+IF(AND('Your debts'!$F$14&lt;&gt;"",'Your debts'!$F$10&lt;&gt;"",'Your debts'!$F$14&lt;'Your debts'!$F$10),AV127,0)+IF(AND('Your debts'!$F$15&lt;&gt;"",'Your debts'!$F$10&lt;&gt;"",'Your debts'!$F$15&lt;'Your debts'!$F$10),BA127,0)))))</f>
        <v/>
      </c>
      <c r="AD127" s="33">
        <f>AB127-AC127</f>
        <v/>
      </c>
      <c r="AE127" s="33">
        <f>IF(AI126&lt;=0,0,ROUND(AI126*(1+'Your debts'!$D$11/1200),2))</f>
        <v/>
      </c>
      <c r="AF127" s="33">
        <f>IF(AE127&lt;=0,0,MIN('Your debts'!$E$11,AE127))</f>
        <v/>
      </c>
      <c r="AG127" s="33">
        <f>AE127-AF127</f>
        <v/>
      </c>
      <c r="AH127" s="33">
        <f>IF('Your debts'!$F$11="",0,MIN(AG127,MAX(0,MAX(0,'Your debts'!$C$19-(G127+L127+Q127+V127+AA127+AF127+AK127+AP127+AU127+AZ127))-(IF(AND('Your debts'!$F$6&lt;&gt;"",'Your debts'!$F$11&lt;&gt;"",'Your debts'!$F$6&lt;'Your debts'!$F$11),H127,0)+IF(AND('Your debts'!$F$7&lt;&gt;"",'Your debts'!$F$11&lt;&gt;"",'Your debts'!$F$7&lt;'Your debts'!$F$11),M127,0)+IF(AND('Your debts'!$F$8&lt;&gt;"",'Your debts'!$F$11&lt;&gt;"",'Your debts'!$F$8&lt;'Your debts'!$F$11),R127,0)+IF(AND('Your debts'!$F$9&lt;&gt;"",'Your debts'!$F$11&lt;&gt;"",'Your debts'!$F$9&lt;'Your debts'!$F$11),W127,0)+IF(AND('Your debts'!$F$10&lt;&gt;"",'Your debts'!$F$11&lt;&gt;"",'Your debts'!$F$10&lt;'Your debts'!$F$11),AB127,0)+IF(AND('Your debts'!$F$12&lt;&gt;"",'Your debts'!$F$11&lt;&gt;"",'Your debts'!$F$12&lt;'Your debts'!$F$11),AL127,0)+IF(AND('Your debts'!$F$13&lt;&gt;"",'Your debts'!$F$11&lt;&gt;"",'Your debts'!$F$13&lt;'Your debts'!$F$11),AQ127,0)+IF(AND('Your debts'!$F$14&lt;&gt;"",'Your debts'!$F$11&lt;&gt;"",'Your debts'!$F$14&lt;'Your debts'!$F$11),AV127,0)+IF(AND('Your debts'!$F$15&lt;&gt;"",'Your debts'!$F$11&lt;&gt;"",'Your debts'!$F$15&lt;'Your debts'!$F$11),BA127,0)))))</f>
        <v/>
      </c>
      <c r="AI127" s="33">
        <f>AG127-AH127</f>
        <v/>
      </c>
      <c r="AJ127" s="33">
        <f>IF(AN126&lt;=0,0,ROUND(AN126*(1+'Your debts'!$D$12/1200),2))</f>
        <v/>
      </c>
      <c r="AK127" s="33">
        <f>IF(AJ127&lt;=0,0,MIN('Your debts'!$E$12,AJ127))</f>
        <v/>
      </c>
      <c r="AL127" s="33">
        <f>AJ127-AK127</f>
        <v/>
      </c>
      <c r="AM127" s="33">
        <f>IF('Your debts'!$F$12="",0,MIN(AL127,MAX(0,MAX(0,'Your debts'!$C$19-(G127+L127+Q127+V127+AA127+AF127+AK127+AP127+AU127+AZ127))-(IF(AND('Your debts'!$F$6&lt;&gt;"",'Your debts'!$F$12&lt;&gt;"",'Your debts'!$F$6&lt;'Your debts'!$F$12),H127,0)+IF(AND('Your debts'!$F$7&lt;&gt;"",'Your debts'!$F$12&lt;&gt;"",'Your debts'!$F$7&lt;'Your debts'!$F$12),M127,0)+IF(AND('Your debts'!$F$8&lt;&gt;"",'Your debts'!$F$12&lt;&gt;"",'Your debts'!$F$8&lt;'Your debts'!$F$12),R127,0)+IF(AND('Your debts'!$F$9&lt;&gt;"",'Your debts'!$F$12&lt;&gt;"",'Your debts'!$F$9&lt;'Your debts'!$F$12),W127,0)+IF(AND('Your debts'!$F$10&lt;&gt;"",'Your debts'!$F$12&lt;&gt;"",'Your debts'!$F$10&lt;'Your debts'!$F$12),AB127,0)+IF(AND('Your debts'!$F$11&lt;&gt;"",'Your debts'!$F$12&lt;&gt;"",'Your debts'!$F$11&lt;'Your debts'!$F$12),AG127,0)+IF(AND('Your debts'!$F$13&lt;&gt;"",'Your debts'!$F$12&lt;&gt;"",'Your debts'!$F$13&lt;'Your debts'!$F$12),AQ127,0)+IF(AND('Your debts'!$F$14&lt;&gt;"",'Your debts'!$F$12&lt;&gt;"",'Your debts'!$F$14&lt;'Your debts'!$F$12),AV127,0)+IF(AND('Your debts'!$F$15&lt;&gt;"",'Your debts'!$F$12&lt;&gt;"",'Your debts'!$F$15&lt;'Your debts'!$F$12),BA127,0)))))</f>
        <v/>
      </c>
      <c r="AN127" s="33">
        <f>AL127-AM127</f>
        <v/>
      </c>
      <c r="AO127" s="33">
        <f>IF(AS126&lt;=0,0,ROUND(AS126*(1+'Your debts'!$D$13/1200),2))</f>
        <v/>
      </c>
      <c r="AP127" s="33">
        <f>IF(AO127&lt;=0,0,MIN('Your debts'!$E$13,AO127))</f>
        <v/>
      </c>
      <c r="AQ127" s="33">
        <f>AO127-AP127</f>
        <v/>
      </c>
      <c r="AR127" s="33">
        <f>IF('Your debts'!$F$13="",0,MIN(AQ127,MAX(0,MAX(0,'Your debts'!$C$19-(G127+L127+Q127+V127+AA127+AF127+AK127+AP127+AU127+AZ127))-(IF(AND('Your debts'!$F$6&lt;&gt;"",'Your debts'!$F$13&lt;&gt;"",'Your debts'!$F$6&lt;'Your debts'!$F$13),H127,0)+IF(AND('Your debts'!$F$7&lt;&gt;"",'Your debts'!$F$13&lt;&gt;"",'Your debts'!$F$7&lt;'Your debts'!$F$13),M127,0)+IF(AND('Your debts'!$F$8&lt;&gt;"",'Your debts'!$F$13&lt;&gt;"",'Your debts'!$F$8&lt;'Your debts'!$F$13),R127,0)+IF(AND('Your debts'!$F$9&lt;&gt;"",'Your debts'!$F$13&lt;&gt;"",'Your debts'!$F$9&lt;'Your debts'!$F$13),W127,0)+IF(AND('Your debts'!$F$10&lt;&gt;"",'Your debts'!$F$13&lt;&gt;"",'Your debts'!$F$10&lt;'Your debts'!$F$13),AB127,0)+IF(AND('Your debts'!$F$11&lt;&gt;"",'Your debts'!$F$13&lt;&gt;"",'Your debts'!$F$11&lt;'Your debts'!$F$13),AG127,0)+IF(AND('Your debts'!$F$12&lt;&gt;"",'Your debts'!$F$13&lt;&gt;"",'Your debts'!$F$12&lt;'Your debts'!$F$13),AL127,0)+IF(AND('Your debts'!$F$14&lt;&gt;"",'Your debts'!$F$13&lt;&gt;"",'Your debts'!$F$14&lt;'Your debts'!$F$13),AV127,0)+IF(AND('Your debts'!$F$15&lt;&gt;"",'Your debts'!$F$13&lt;&gt;"",'Your debts'!$F$15&lt;'Your debts'!$F$13),BA127,0)))))</f>
        <v/>
      </c>
      <c r="AS127" s="33">
        <f>AQ127-AR127</f>
        <v/>
      </c>
      <c r="AT127" s="33">
        <f>IF(AX126&lt;=0,0,ROUND(AX126*(1+'Your debts'!$D$14/1200),2))</f>
        <v/>
      </c>
      <c r="AU127" s="33">
        <f>IF(AT127&lt;=0,0,MIN('Your debts'!$E$14,AT127))</f>
        <v/>
      </c>
      <c r="AV127" s="33">
        <f>AT127-AU127</f>
        <v/>
      </c>
      <c r="AW127" s="33">
        <f>IF('Your debts'!$F$14="",0,MIN(AV127,MAX(0,MAX(0,'Your debts'!$C$19-(G127+L127+Q127+V127+AA127+AF127+AK127+AP127+AU127+AZ127))-(IF(AND('Your debts'!$F$6&lt;&gt;"",'Your debts'!$F$14&lt;&gt;"",'Your debts'!$F$6&lt;'Your debts'!$F$14),H127,0)+IF(AND('Your debts'!$F$7&lt;&gt;"",'Your debts'!$F$14&lt;&gt;"",'Your debts'!$F$7&lt;'Your debts'!$F$14),M127,0)+IF(AND('Your debts'!$F$8&lt;&gt;"",'Your debts'!$F$14&lt;&gt;"",'Your debts'!$F$8&lt;'Your debts'!$F$14),R127,0)+IF(AND('Your debts'!$F$9&lt;&gt;"",'Your debts'!$F$14&lt;&gt;"",'Your debts'!$F$9&lt;'Your debts'!$F$14),W127,0)+IF(AND('Your debts'!$F$10&lt;&gt;"",'Your debts'!$F$14&lt;&gt;"",'Your debts'!$F$10&lt;'Your debts'!$F$14),AB127,0)+IF(AND('Your debts'!$F$11&lt;&gt;"",'Your debts'!$F$14&lt;&gt;"",'Your debts'!$F$11&lt;'Your debts'!$F$14),AG127,0)+IF(AND('Your debts'!$F$12&lt;&gt;"",'Your debts'!$F$14&lt;&gt;"",'Your debts'!$F$12&lt;'Your debts'!$F$14),AL127,0)+IF(AND('Your debts'!$F$13&lt;&gt;"",'Your debts'!$F$14&lt;&gt;"",'Your debts'!$F$13&lt;'Your debts'!$F$14),AQ127,0)+IF(AND('Your debts'!$F$15&lt;&gt;"",'Your debts'!$F$14&lt;&gt;"",'Your debts'!$F$15&lt;'Your debts'!$F$14),BA127,0)))))</f>
        <v/>
      </c>
      <c r="AX127" s="33">
        <f>AV127-AW127</f>
        <v/>
      </c>
      <c r="AY127" s="33">
        <f>IF(BC126&lt;=0,0,ROUND(BC126*(1+'Your debts'!$D$15/1200),2))</f>
        <v/>
      </c>
      <c r="AZ127" s="33">
        <f>IF(AY127&lt;=0,0,MIN('Your debts'!$E$15,AY127))</f>
        <v/>
      </c>
      <c r="BA127" s="33">
        <f>AY127-AZ127</f>
        <v/>
      </c>
      <c r="BB127" s="33">
        <f>IF('Your debts'!$F$15="",0,MIN(BA127,MAX(0,MAX(0,'Your debts'!$C$19-(G127+L127+Q127+V127+AA127+AF127+AK127+AP127+AU127+AZ127))-(IF(AND('Your debts'!$F$6&lt;&gt;"",'Your debts'!$F$15&lt;&gt;"",'Your debts'!$F$6&lt;'Your debts'!$F$15),H127,0)+IF(AND('Your debts'!$F$7&lt;&gt;"",'Your debts'!$F$15&lt;&gt;"",'Your debts'!$F$7&lt;'Your debts'!$F$15),M127,0)+IF(AND('Your debts'!$F$8&lt;&gt;"",'Your debts'!$F$15&lt;&gt;"",'Your debts'!$F$8&lt;'Your debts'!$F$15),R127,0)+IF(AND('Your debts'!$F$9&lt;&gt;"",'Your debts'!$F$15&lt;&gt;"",'Your debts'!$F$9&lt;'Your debts'!$F$15),W127,0)+IF(AND('Your debts'!$F$10&lt;&gt;"",'Your debts'!$F$15&lt;&gt;"",'Your debts'!$F$10&lt;'Your debts'!$F$15),AB127,0)+IF(AND('Your debts'!$F$11&lt;&gt;"",'Your debts'!$F$15&lt;&gt;"",'Your debts'!$F$11&lt;'Your debts'!$F$15),AG127,0)+IF(AND('Your debts'!$F$12&lt;&gt;"",'Your debts'!$F$15&lt;&gt;"",'Your debts'!$F$12&lt;'Your debts'!$F$15),AL127,0)+IF(AND('Your debts'!$F$13&lt;&gt;"",'Your debts'!$F$15&lt;&gt;"",'Your debts'!$F$13&lt;'Your debts'!$F$15),AQ127,0)+IF(AND('Your debts'!$F$14&lt;&gt;"",'Your debts'!$F$15&lt;&gt;"",'Your debts'!$F$14&lt;'Your debts'!$F$15),AV127,0)))))</f>
        <v/>
      </c>
      <c r="BC127" s="33">
        <f>BA127-BB127</f>
        <v/>
      </c>
    </row>
    <row r="128">
      <c r="A128" s="30" t="n">
        <v>113</v>
      </c>
      <c r="B128" s="31">
        <f>EDATE($B$15,113)</f>
        <v/>
      </c>
      <c r="C128" s="32">
        <f>IF(J127&lt;=0,0,F128-J127)+IF(O127&lt;=0,0,K128-O127)+IF(T127&lt;=0,0,P128-T127)+IF(Y127&lt;=0,0,U128-Y127)+IF(AD127&lt;=0,0,Z128-AD127)+IF(AI127&lt;=0,0,AE128-AI127)+IF(AN127&lt;=0,0,AJ128-AN127)+IF(AS127&lt;=0,0,AO128-AS127)+IF(AX127&lt;=0,0,AT128-AX127)+IF(BC127&lt;=0,0,AY128-BC127)</f>
        <v/>
      </c>
      <c r="D128" s="32">
        <f>G128+I128+L128+N128+Q128+S128+V128+X128+AA128+AC128+AF128+AH128+AK128+AM128+AP128+AR128+AU128+AW128+AZ128+BB128</f>
        <v/>
      </c>
      <c r="E128" s="32">
        <f>J128+O128+T128+Y128+AD128+AI128+AN128+AS128+AX128+BC128</f>
        <v/>
      </c>
      <c r="F128" s="33">
        <f>IF(J127&lt;=0,0,ROUND(J127*(1+'Your debts'!$D$6/1200),2))</f>
        <v/>
      </c>
      <c r="G128" s="33">
        <f>IF(F128&lt;=0,0,MIN('Your debts'!$E$6,F128))</f>
        <v/>
      </c>
      <c r="H128" s="33">
        <f>F128-G128</f>
        <v/>
      </c>
      <c r="I128" s="33">
        <f>IF('Your debts'!$F$6="",0,MIN(H128,MAX(0,MAX(0,'Your debts'!$C$19-(G128+L128+Q128+V128+AA128+AF128+AK128+AP128+AU128+AZ128))-(IF(AND('Your debts'!$F$7&lt;&gt;"",'Your debts'!$F$6&lt;&gt;"",'Your debts'!$F$7&lt;'Your debts'!$F$6),M128,0)+IF(AND('Your debts'!$F$8&lt;&gt;"",'Your debts'!$F$6&lt;&gt;"",'Your debts'!$F$8&lt;'Your debts'!$F$6),R128,0)+IF(AND('Your debts'!$F$9&lt;&gt;"",'Your debts'!$F$6&lt;&gt;"",'Your debts'!$F$9&lt;'Your debts'!$F$6),W128,0)+IF(AND('Your debts'!$F$10&lt;&gt;"",'Your debts'!$F$6&lt;&gt;"",'Your debts'!$F$10&lt;'Your debts'!$F$6),AB128,0)+IF(AND('Your debts'!$F$11&lt;&gt;"",'Your debts'!$F$6&lt;&gt;"",'Your debts'!$F$11&lt;'Your debts'!$F$6),AG128,0)+IF(AND('Your debts'!$F$12&lt;&gt;"",'Your debts'!$F$6&lt;&gt;"",'Your debts'!$F$12&lt;'Your debts'!$F$6),AL128,0)+IF(AND('Your debts'!$F$13&lt;&gt;"",'Your debts'!$F$6&lt;&gt;"",'Your debts'!$F$13&lt;'Your debts'!$F$6),AQ128,0)+IF(AND('Your debts'!$F$14&lt;&gt;"",'Your debts'!$F$6&lt;&gt;"",'Your debts'!$F$14&lt;'Your debts'!$F$6),AV128,0)+IF(AND('Your debts'!$F$15&lt;&gt;"",'Your debts'!$F$6&lt;&gt;"",'Your debts'!$F$15&lt;'Your debts'!$F$6),BA128,0)))))</f>
        <v/>
      </c>
      <c r="J128" s="33">
        <f>H128-I128</f>
        <v/>
      </c>
      <c r="K128" s="33">
        <f>IF(O127&lt;=0,0,ROUND(O127*(1+'Your debts'!$D$7/1200),2))</f>
        <v/>
      </c>
      <c r="L128" s="33">
        <f>IF(K128&lt;=0,0,MIN('Your debts'!$E$7,K128))</f>
        <v/>
      </c>
      <c r="M128" s="33">
        <f>K128-L128</f>
        <v/>
      </c>
      <c r="N128" s="33">
        <f>IF('Your debts'!$F$7="",0,MIN(M128,MAX(0,MAX(0,'Your debts'!$C$19-(G128+L128+Q128+V128+AA128+AF128+AK128+AP128+AU128+AZ128))-(IF(AND('Your debts'!$F$6&lt;&gt;"",'Your debts'!$F$7&lt;&gt;"",'Your debts'!$F$6&lt;'Your debts'!$F$7),H128,0)+IF(AND('Your debts'!$F$8&lt;&gt;"",'Your debts'!$F$7&lt;&gt;"",'Your debts'!$F$8&lt;'Your debts'!$F$7),R128,0)+IF(AND('Your debts'!$F$9&lt;&gt;"",'Your debts'!$F$7&lt;&gt;"",'Your debts'!$F$9&lt;'Your debts'!$F$7),W128,0)+IF(AND('Your debts'!$F$10&lt;&gt;"",'Your debts'!$F$7&lt;&gt;"",'Your debts'!$F$10&lt;'Your debts'!$F$7),AB128,0)+IF(AND('Your debts'!$F$11&lt;&gt;"",'Your debts'!$F$7&lt;&gt;"",'Your debts'!$F$11&lt;'Your debts'!$F$7),AG128,0)+IF(AND('Your debts'!$F$12&lt;&gt;"",'Your debts'!$F$7&lt;&gt;"",'Your debts'!$F$12&lt;'Your debts'!$F$7),AL128,0)+IF(AND('Your debts'!$F$13&lt;&gt;"",'Your debts'!$F$7&lt;&gt;"",'Your debts'!$F$13&lt;'Your debts'!$F$7),AQ128,0)+IF(AND('Your debts'!$F$14&lt;&gt;"",'Your debts'!$F$7&lt;&gt;"",'Your debts'!$F$14&lt;'Your debts'!$F$7),AV128,0)+IF(AND('Your debts'!$F$15&lt;&gt;"",'Your debts'!$F$7&lt;&gt;"",'Your debts'!$F$15&lt;'Your debts'!$F$7),BA128,0)))))</f>
        <v/>
      </c>
      <c r="O128" s="33">
        <f>M128-N128</f>
        <v/>
      </c>
      <c r="P128" s="33">
        <f>IF(T127&lt;=0,0,ROUND(T127*(1+'Your debts'!$D$8/1200),2))</f>
        <v/>
      </c>
      <c r="Q128" s="33">
        <f>IF(P128&lt;=0,0,MIN('Your debts'!$E$8,P128))</f>
        <v/>
      </c>
      <c r="R128" s="33">
        <f>P128-Q128</f>
        <v/>
      </c>
      <c r="S128" s="33">
        <f>IF('Your debts'!$F$8="",0,MIN(R128,MAX(0,MAX(0,'Your debts'!$C$19-(G128+L128+Q128+V128+AA128+AF128+AK128+AP128+AU128+AZ128))-(IF(AND('Your debts'!$F$6&lt;&gt;"",'Your debts'!$F$8&lt;&gt;"",'Your debts'!$F$6&lt;'Your debts'!$F$8),H128,0)+IF(AND('Your debts'!$F$7&lt;&gt;"",'Your debts'!$F$8&lt;&gt;"",'Your debts'!$F$7&lt;'Your debts'!$F$8),M128,0)+IF(AND('Your debts'!$F$9&lt;&gt;"",'Your debts'!$F$8&lt;&gt;"",'Your debts'!$F$9&lt;'Your debts'!$F$8),W128,0)+IF(AND('Your debts'!$F$10&lt;&gt;"",'Your debts'!$F$8&lt;&gt;"",'Your debts'!$F$10&lt;'Your debts'!$F$8),AB128,0)+IF(AND('Your debts'!$F$11&lt;&gt;"",'Your debts'!$F$8&lt;&gt;"",'Your debts'!$F$11&lt;'Your debts'!$F$8),AG128,0)+IF(AND('Your debts'!$F$12&lt;&gt;"",'Your debts'!$F$8&lt;&gt;"",'Your debts'!$F$12&lt;'Your debts'!$F$8),AL128,0)+IF(AND('Your debts'!$F$13&lt;&gt;"",'Your debts'!$F$8&lt;&gt;"",'Your debts'!$F$13&lt;'Your debts'!$F$8),AQ128,0)+IF(AND('Your debts'!$F$14&lt;&gt;"",'Your debts'!$F$8&lt;&gt;"",'Your debts'!$F$14&lt;'Your debts'!$F$8),AV128,0)+IF(AND('Your debts'!$F$15&lt;&gt;"",'Your debts'!$F$8&lt;&gt;"",'Your debts'!$F$15&lt;'Your debts'!$F$8),BA128,0)))))</f>
        <v/>
      </c>
      <c r="T128" s="33">
        <f>R128-S128</f>
        <v/>
      </c>
      <c r="U128" s="33">
        <f>IF(Y127&lt;=0,0,ROUND(Y127*(1+'Your debts'!$D$9/1200),2))</f>
        <v/>
      </c>
      <c r="V128" s="33">
        <f>IF(U128&lt;=0,0,MIN('Your debts'!$E$9,U128))</f>
        <v/>
      </c>
      <c r="W128" s="33">
        <f>U128-V128</f>
        <v/>
      </c>
      <c r="X128" s="33">
        <f>IF('Your debts'!$F$9="",0,MIN(W128,MAX(0,MAX(0,'Your debts'!$C$19-(G128+L128+Q128+V128+AA128+AF128+AK128+AP128+AU128+AZ128))-(IF(AND('Your debts'!$F$6&lt;&gt;"",'Your debts'!$F$9&lt;&gt;"",'Your debts'!$F$6&lt;'Your debts'!$F$9),H128,0)+IF(AND('Your debts'!$F$7&lt;&gt;"",'Your debts'!$F$9&lt;&gt;"",'Your debts'!$F$7&lt;'Your debts'!$F$9),M128,0)+IF(AND('Your debts'!$F$8&lt;&gt;"",'Your debts'!$F$9&lt;&gt;"",'Your debts'!$F$8&lt;'Your debts'!$F$9),R128,0)+IF(AND('Your debts'!$F$10&lt;&gt;"",'Your debts'!$F$9&lt;&gt;"",'Your debts'!$F$10&lt;'Your debts'!$F$9),AB128,0)+IF(AND('Your debts'!$F$11&lt;&gt;"",'Your debts'!$F$9&lt;&gt;"",'Your debts'!$F$11&lt;'Your debts'!$F$9),AG128,0)+IF(AND('Your debts'!$F$12&lt;&gt;"",'Your debts'!$F$9&lt;&gt;"",'Your debts'!$F$12&lt;'Your debts'!$F$9),AL128,0)+IF(AND('Your debts'!$F$13&lt;&gt;"",'Your debts'!$F$9&lt;&gt;"",'Your debts'!$F$13&lt;'Your debts'!$F$9),AQ128,0)+IF(AND('Your debts'!$F$14&lt;&gt;"",'Your debts'!$F$9&lt;&gt;"",'Your debts'!$F$14&lt;'Your debts'!$F$9),AV128,0)+IF(AND('Your debts'!$F$15&lt;&gt;"",'Your debts'!$F$9&lt;&gt;"",'Your debts'!$F$15&lt;'Your debts'!$F$9),BA128,0)))))</f>
        <v/>
      </c>
      <c r="Y128" s="33">
        <f>W128-X128</f>
        <v/>
      </c>
      <c r="Z128" s="33">
        <f>IF(AD127&lt;=0,0,ROUND(AD127*(1+'Your debts'!$D$10/1200),2))</f>
        <v/>
      </c>
      <c r="AA128" s="33">
        <f>IF(Z128&lt;=0,0,MIN('Your debts'!$E$10,Z128))</f>
        <v/>
      </c>
      <c r="AB128" s="33">
        <f>Z128-AA128</f>
        <v/>
      </c>
      <c r="AC128" s="33">
        <f>IF('Your debts'!$F$10="",0,MIN(AB128,MAX(0,MAX(0,'Your debts'!$C$19-(G128+L128+Q128+V128+AA128+AF128+AK128+AP128+AU128+AZ128))-(IF(AND('Your debts'!$F$6&lt;&gt;"",'Your debts'!$F$10&lt;&gt;"",'Your debts'!$F$6&lt;'Your debts'!$F$10),H128,0)+IF(AND('Your debts'!$F$7&lt;&gt;"",'Your debts'!$F$10&lt;&gt;"",'Your debts'!$F$7&lt;'Your debts'!$F$10),M128,0)+IF(AND('Your debts'!$F$8&lt;&gt;"",'Your debts'!$F$10&lt;&gt;"",'Your debts'!$F$8&lt;'Your debts'!$F$10),R128,0)+IF(AND('Your debts'!$F$9&lt;&gt;"",'Your debts'!$F$10&lt;&gt;"",'Your debts'!$F$9&lt;'Your debts'!$F$10),W128,0)+IF(AND('Your debts'!$F$11&lt;&gt;"",'Your debts'!$F$10&lt;&gt;"",'Your debts'!$F$11&lt;'Your debts'!$F$10),AG128,0)+IF(AND('Your debts'!$F$12&lt;&gt;"",'Your debts'!$F$10&lt;&gt;"",'Your debts'!$F$12&lt;'Your debts'!$F$10),AL128,0)+IF(AND('Your debts'!$F$13&lt;&gt;"",'Your debts'!$F$10&lt;&gt;"",'Your debts'!$F$13&lt;'Your debts'!$F$10),AQ128,0)+IF(AND('Your debts'!$F$14&lt;&gt;"",'Your debts'!$F$10&lt;&gt;"",'Your debts'!$F$14&lt;'Your debts'!$F$10),AV128,0)+IF(AND('Your debts'!$F$15&lt;&gt;"",'Your debts'!$F$10&lt;&gt;"",'Your debts'!$F$15&lt;'Your debts'!$F$10),BA128,0)))))</f>
        <v/>
      </c>
      <c r="AD128" s="33">
        <f>AB128-AC128</f>
        <v/>
      </c>
      <c r="AE128" s="33">
        <f>IF(AI127&lt;=0,0,ROUND(AI127*(1+'Your debts'!$D$11/1200),2))</f>
        <v/>
      </c>
      <c r="AF128" s="33">
        <f>IF(AE128&lt;=0,0,MIN('Your debts'!$E$11,AE128))</f>
        <v/>
      </c>
      <c r="AG128" s="33">
        <f>AE128-AF128</f>
        <v/>
      </c>
      <c r="AH128" s="33">
        <f>IF('Your debts'!$F$11="",0,MIN(AG128,MAX(0,MAX(0,'Your debts'!$C$19-(G128+L128+Q128+V128+AA128+AF128+AK128+AP128+AU128+AZ128))-(IF(AND('Your debts'!$F$6&lt;&gt;"",'Your debts'!$F$11&lt;&gt;"",'Your debts'!$F$6&lt;'Your debts'!$F$11),H128,0)+IF(AND('Your debts'!$F$7&lt;&gt;"",'Your debts'!$F$11&lt;&gt;"",'Your debts'!$F$7&lt;'Your debts'!$F$11),M128,0)+IF(AND('Your debts'!$F$8&lt;&gt;"",'Your debts'!$F$11&lt;&gt;"",'Your debts'!$F$8&lt;'Your debts'!$F$11),R128,0)+IF(AND('Your debts'!$F$9&lt;&gt;"",'Your debts'!$F$11&lt;&gt;"",'Your debts'!$F$9&lt;'Your debts'!$F$11),W128,0)+IF(AND('Your debts'!$F$10&lt;&gt;"",'Your debts'!$F$11&lt;&gt;"",'Your debts'!$F$10&lt;'Your debts'!$F$11),AB128,0)+IF(AND('Your debts'!$F$12&lt;&gt;"",'Your debts'!$F$11&lt;&gt;"",'Your debts'!$F$12&lt;'Your debts'!$F$11),AL128,0)+IF(AND('Your debts'!$F$13&lt;&gt;"",'Your debts'!$F$11&lt;&gt;"",'Your debts'!$F$13&lt;'Your debts'!$F$11),AQ128,0)+IF(AND('Your debts'!$F$14&lt;&gt;"",'Your debts'!$F$11&lt;&gt;"",'Your debts'!$F$14&lt;'Your debts'!$F$11),AV128,0)+IF(AND('Your debts'!$F$15&lt;&gt;"",'Your debts'!$F$11&lt;&gt;"",'Your debts'!$F$15&lt;'Your debts'!$F$11),BA128,0)))))</f>
        <v/>
      </c>
      <c r="AI128" s="33">
        <f>AG128-AH128</f>
        <v/>
      </c>
      <c r="AJ128" s="33">
        <f>IF(AN127&lt;=0,0,ROUND(AN127*(1+'Your debts'!$D$12/1200),2))</f>
        <v/>
      </c>
      <c r="AK128" s="33">
        <f>IF(AJ128&lt;=0,0,MIN('Your debts'!$E$12,AJ128))</f>
        <v/>
      </c>
      <c r="AL128" s="33">
        <f>AJ128-AK128</f>
        <v/>
      </c>
      <c r="AM128" s="33">
        <f>IF('Your debts'!$F$12="",0,MIN(AL128,MAX(0,MAX(0,'Your debts'!$C$19-(G128+L128+Q128+V128+AA128+AF128+AK128+AP128+AU128+AZ128))-(IF(AND('Your debts'!$F$6&lt;&gt;"",'Your debts'!$F$12&lt;&gt;"",'Your debts'!$F$6&lt;'Your debts'!$F$12),H128,0)+IF(AND('Your debts'!$F$7&lt;&gt;"",'Your debts'!$F$12&lt;&gt;"",'Your debts'!$F$7&lt;'Your debts'!$F$12),M128,0)+IF(AND('Your debts'!$F$8&lt;&gt;"",'Your debts'!$F$12&lt;&gt;"",'Your debts'!$F$8&lt;'Your debts'!$F$12),R128,0)+IF(AND('Your debts'!$F$9&lt;&gt;"",'Your debts'!$F$12&lt;&gt;"",'Your debts'!$F$9&lt;'Your debts'!$F$12),W128,0)+IF(AND('Your debts'!$F$10&lt;&gt;"",'Your debts'!$F$12&lt;&gt;"",'Your debts'!$F$10&lt;'Your debts'!$F$12),AB128,0)+IF(AND('Your debts'!$F$11&lt;&gt;"",'Your debts'!$F$12&lt;&gt;"",'Your debts'!$F$11&lt;'Your debts'!$F$12),AG128,0)+IF(AND('Your debts'!$F$13&lt;&gt;"",'Your debts'!$F$12&lt;&gt;"",'Your debts'!$F$13&lt;'Your debts'!$F$12),AQ128,0)+IF(AND('Your debts'!$F$14&lt;&gt;"",'Your debts'!$F$12&lt;&gt;"",'Your debts'!$F$14&lt;'Your debts'!$F$12),AV128,0)+IF(AND('Your debts'!$F$15&lt;&gt;"",'Your debts'!$F$12&lt;&gt;"",'Your debts'!$F$15&lt;'Your debts'!$F$12),BA128,0)))))</f>
        <v/>
      </c>
      <c r="AN128" s="33">
        <f>AL128-AM128</f>
        <v/>
      </c>
      <c r="AO128" s="33">
        <f>IF(AS127&lt;=0,0,ROUND(AS127*(1+'Your debts'!$D$13/1200),2))</f>
        <v/>
      </c>
      <c r="AP128" s="33">
        <f>IF(AO128&lt;=0,0,MIN('Your debts'!$E$13,AO128))</f>
        <v/>
      </c>
      <c r="AQ128" s="33">
        <f>AO128-AP128</f>
        <v/>
      </c>
      <c r="AR128" s="33">
        <f>IF('Your debts'!$F$13="",0,MIN(AQ128,MAX(0,MAX(0,'Your debts'!$C$19-(G128+L128+Q128+V128+AA128+AF128+AK128+AP128+AU128+AZ128))-(IF(AND('Your debts'!$F$6&lt;&gt;"",'Your debts'!$F$13&lt;&gt;"",'Your debts'!$F$6&lt;'Your debts'!$F$13),H128,0)+IF(AND('Your debts'!$F$7&lt;&gt;"",'Your debts'!$F$13&lt;&gt;"",'Your debts'!$F$7&lt;'Your debts'!$F$13),M128,0)+IF(AND('Your debts'!$F$8&lt;&gt;"",'Your debts'!$F$13&lt;&gt;"",'Your debts'!$F$8&lt;'Your debts'!$F$13),R128,0)+IF(AND('Your debts'!$F$9&lt;&gt;"",'Your debts'!$F$13&lt;&gt;"",'Your debts'!$F$9&lt;'Your debts'!$F$13),W128,0)+IF(AND('Your debts'!$F$10&lt;&gt;"",'Your debts'!$F$13&lt;&gt;"",'Your debts'!$F$10&lt;'Your debts'!$F$13),AB128,0)+IF(AND('Your debts'!$F$11&lt;&gt;"",'Your debts'!$F$13&lt;&gt;"",'Your debts'!$F$11&lt;'Your debts'!$F$13),AG128,0)+IF(AND('Your debts'!$F$12&lt;&gt;"",'Your debts'!$F$13&lt;&gt;"",'Your debts'!$F$12&lt;'Your debts'!$F$13),AL128,0)+IF(AND('Your debts'!$F$14&lt;&gt;"",'Your debts'!$F$13&lt;&gt;"",'Your debts'!$F$14&lt;'Your debts'!$F$13),AV128,0)+IF(AND('Your debts'!$F$15&lt;&gt;"",'Your debts'!$F$13&lt;&gt;"",'Your debts'!$F$15&lt;'Your debts'!$F$13),BA128,0)))))</f>
        <v/>
      </c>
      <c r="AS128" s="33">
        <f>AQ128-AR128</f>
        <v/>
      </c>
      <c r="AT128" s="33">
        <f>IF(AX127&lt;=0,0,ROUND(AX127*(1+'Your debts'!$D$14/1200),2))</f>
        <v/>
      </c>
      <c r="AU128" s="33">
        <f>IF(AT128&lt;=0,0,MIN('Your debts'!$E$14,AT128))</f>
        <v/>
      </c>
      <c r="AV128" s="33">
        <f>AT128-AU128</f>
        <v/>
      </c>
      <c r="AW128" s="33">
        <f>IF('Your debts'!$F$14="",0,MIN(AV128,MAX(0,MAX(0,'Your debts'!$C$19-(G128+L128+Q128+V128+AA128+AF128+AK128+AP128+AU128+AZ128))-(IF(AND('Your debts'!$F$6&lt;&gt;"",'Your debts'!$F$14&lt;&gt;"",'Your debts'!$F$6&lt;'Your debts'!$F$14),H128,0)+IF(AND('Your debts'!$F$7&lt;&gt;"",'Your debts'!$F$14&lt;&gt;"",'Your debts'!$F$7&lt;'Your debts'!$F$14),M128,0)+IF(AND('Your debts'!$F$8&lt;&gt;"",'Your debts'!$F$14&lt;&gt;"",'Your debts'!$F$8&lt;'Your debts'!$F$14),R128,0)+IF(AND('Your debts'!$F$9&lt;&gt;"",'Your debts'!$F$14&lt;&gt;"",'Your debts'!$F$9&lt;'Your debts'!$F$14),W128,0)+IF(AND('Your debts'!$F$10&lt;&gt;"",'Your debts'!$F$14&lt;&gt;"",'Your debts'!$F$10&lt;'Your debts'!$F$14),AB128,0)+IF(AND('Your debts'!$F$11&lt;&gt;"",'Your debts'!$F$14&lt;&gt;"",'Your debts'!$F$11&lt;'Your debts'!$F$14),AG128,0)+IF(AND('Your debts'!$F$12&lt;&gt;"",'Your debts'!$F$14&lt;&gt;"",'Your debts'!$F$12&lt;'Your debts'!$F$14),AL128,0)+IF(AND('Your debts'!$F$13&lt;&gt;"",'Your debts'!$F$14&lt;&gt;"",'Your debts'!$F$13&lt;'Your debts'!$F$14),AQ128,0)+IF(AND('Your debts'!$F$15&lt;&gt;"",'Your debts'!$F$14&lt;&gt;"",'Your debts'!$F$15&lt;'Your debts'!$F$14),BA128,0)))))</f>
        <v/>
      </c>
      <c r="AX128" s="33">
        <f>AV128-AW128</f>
        <v/>
      </c>
      <c r="AY128" s="33">
        <f>IF(BC127&lt;=0,0,ROUND(BC127*(1+'Your debts'!$D$15/1200),2))</f>
        <v/>
      </c>
      <c r="AZ128" s="33">
        <f>IF(AY128&lt;=0,0,MIN('Your debts'!$E$15,AY128))</f>
        <v/>
      </c>
      <c r="BA128" s="33">
        <f>AY128-AZ128</f>
        <v/>
      </c>
      <c r="BB128" s="33">
        <f>IF('Your debts'!$F$15="",0,MIN(BA128,MAX(0,MAX(0,'Your debts'!$C$19-(G128+L128+Q128+V128+AA128+AF128+AK128+AP128+AU128+AZ128))-(IF(AND('Your debts'!$F$6&lt;&gt;"",'Your debts'!$F$15&lt;&gt;"",'Your debts'!$F$6&lt;'Your debts'!$F$15),H128,0)+IF(AND('Your debts'!$F$7&lt;&gt;"",'Your debts'!$F$15&lt;&gt;"",'Your debts'!$F$7&lt;'Your debts'!$F$15),M128,0)+IF(AND('Your debts'!$F$8&lt;&gt;"",'Your debts'!$F$15&lt;&gt;"",'Your debts'!$F$8&lt;'Your debts'!$F$15),R128,0)+IF(AND('Your debts'!$F$9&lt;&gt;"",'Your debts'!$F$15&lt;&gt;"",'Your debts'!$F$9&lt;'Your debts'!$F$15),W128,0)+IF(AND('Your debts'!$F$10&lt;&gt;"",'Your debts'!$F$15&lt;&gt;"",'Your debts'!$F$10&lt;'Your debts'!$F$15),AB128,0)+IF(AND('Your debts'!$F$11&lt;&gt;"",'Your debts'!$F$15&lt;&gt;"",'Your debts'!$F$11&lt;'Your debts'!$F$15),AG128,0)+IF(AND('Your debts'!$F$12&lt;&gt;"",'Your debts'!$F$15&lt;&gt;"",'Your debts'!$F$12&lt;'Your debts'!$F$15),AL128,0)+IF(AND('Your debts'!$F$13&lt;&gt;"",'Your debts'!$F$15&lt;&gt;"",'Your debts'!$F$13&lt;'Your debts'!$F$15),AQ128,0)+IF(AND('Your debts'!$F$14&lt;&gt;"",'Your debts'!$F$15&lt;&gt;"",'Your debts'!$F$14&lt;'Your debts'!$F$15),AV128,0)))))</f>
        <v/>
      </c>
      <c r="BC128" s="33">
        <f>BA128-BB128</f>
        <v/>
      </c>
    </row>
    <row r="129">
      <c r="A129" s="30" t="n">
        <v>114</v>
      </c>
      <c r="B129" s="31">
        <f>EDATE($B$15,114)</f>
        <v/>
      </c>
      <c r="C129" s="32">
        <f>IF(J128&lt;=0,0,F129-J128)+IF(O128&lt;=0,0,K129-O128)+IF(T128&lt;=0,0,P129-T128)+IF(Y128&lt;=0,0,U129-Y128)+IF(AD128&lt;=0,0,Z129-AD128)+IF(AI128&lt;=0,0,AE129-AI128)+IF(AN128&lt;=0,0,AJ129-AN128)+IF(AS128&lt;=0,0,AO129-AS128)+IF(AX128&lt;=0,0,AT129-AX128)+IF(BC128&lt;=0,0,AY129-BC128)</f>
        <v/>
      </c>
      <c r="D129" s="32">
        <f>G129+I129+L129+N129+Q129+S129+V129+X129+AA129+AC129+AF129+AH129+AK129+AM129+AP129+AR129+AU129+AW129+AZ129+BB129</f>
        <v/>
      </c>
      <c r="E129" s="32">
        <f>J129+O129+T129+Y129+AD129+AI129+AN129+AS129+AX129+BC129</f>
        <v/>
      </c>
      <c r="F129" s="33">
        <f>IF(J128&lt;=0,0,ROUND(J128*(1+'Your debts'!$D$6/1200),2))</f>
        <v/>
      </c>
      <c r="G129" s="33">
        <f>IF(F129&lt;=0,0,MIN('Your debts'!$E$6,F129))</f>
        <v/>
      </c>
      <c r="H129" s="33">
        <f>F129-G129</f>
        <v/>
      </c>
      <c r="I129" s="33">
        <f>IF('Your debts'!$F$6="",0,MIN(H129,MAX(0,MAX(0,'Your debts'!$C$19-(G129+L129+Q129+V129+AA129+AF129+AK129+AP129+AU129+AZ129))-(IF(AND('Your debts'!$F$7&lt;&gt;"",'Your debts'!$F$6&lt;&gt;"",'Your debts'!$F$7&lt;'Your debts'!$F$6),M129,0)+IF(AND('Your debts'!$F$8&lt;&gt;"",'Your debts'!$F$6&lt;&gt;"",'Your debts'!$F$8&lt;'Your debts'!$F$6),R129,0)+IF(AND('Your debts'!$F$9&lt;&gt;"",'Your debts'!$F$6&lt;&gt;"",'Your debts'!$F$9&lt;'Your debts'!$F$6),W129,0)+IF(AND('Your debts'!$F$10&lt;&gt;"",'Your debts'!$F$6&lt;&gt;"",'Your debts'!$F$10&lt;'Your debts'!$F$6),AB129,0)+IF(AND('Your debts'!$F$11&lt;&gt;"",'Your debts'!$F$6&lt;&gt;"",'Your debts'!$F$11&lt;'Your debts'!$F$6),AG129,0)+IF(AND('Your debts'!$F$12&lt;&gt;"",'Your debts'!$F$6&lt;&gt;"",'Your debts'!$F$12&lt;'Your debts'!$F$6),AL129,0)+IF(AND('Your debts'!$F$13&lt;&gt;"",'Your debts'!$F$6&lt;&gt;"",'Your debts'!$F$13&lt;'Your debts'!$F$6),AQ129,0)+IF(AND('Your debts'!$F$14&lt;&gt;"",'Your debts'!$F$6&lt;&gt;"",'Your debts'!$F$14&lt;'Your debts'!$F$6),AV129,0)+IF(AND('Your debts'!$F$15&lt;&gt;"",'Your debts'!$F$6&lt;&gt;"",'Your debts'!$F$15&lt;'Your debts'!$F$6),BA129,0)))))</f>
        <v/>
      </c>
      <c r="J129" s="33">
        <f>H129-I129</f>
        <v/>
      </c>
      <c r="K129" s="33">
        <f>IF(O128&lt;=0,0,ROUND(O128*(1+'Your debts'!$D$7/1200),2))</f>
        <v/>
      </c>
      <c r="L129" s="33">
        <f>IF(K129&lt;=0,0,MIN('Your debts'!$E$7,K129))</f>
        <v/>
      </c>
      <c r="M129" s="33">
        <f>K129-L129</f>
        <v/>
      </c>
      <c r="N129" s="33">
        <f>IF('Your debts'!$F$7="",0,MIN(M129,MAX(0,MAX(0,'Your debts'!$C$19-(G129+L129+Q129+V129+AA129+AF129+AK129+AP129+AU129+AZ129))-(IF(AND('Your debts'!$F$6&lt;&gt;"",'Your debts'!$F$7&lt;&gt;"",'Your debts'!$F$6&lt;'Your debts'!$F$7),H129,0)+IF(AND('Your debts'!$F$8&lt;&gt;"",'Your debts'!$F$7&lt;&gt;"",'Your debts'!$F$8&lt;'Your debts'!$F$7),R129,0)+IF(AND('Your debts'!$F$9&lt;&gt;"",'Your debts'!$F$7&lt;&gt;"",'Your debts'!$F$9&lt;'Your debts'!$F$7),W129,0)+IF(AND('Your debts'!$F$10&lt;&gt;"",'Your debts'!$F$7&lt;&gt;"",'Your debts'!$F$10&lt;'Your debts'!$F$7),AB129,0)+IF(AND('Your debts'!$F$11&lt;&gt;"",'Your debts'!$F$7&lt;&gt;"",'Your debts'!$F$11&lt;'Your debts'!$F$7),AG129,0)+IF(AND('Your debts'!$F$12&lt;&gt;"",'Your debts'!$F$7&lt;&gt;"",'Your debts'!$F$12&lt;'Your debts'!$F$7),AL129,0)+IF(AND('Your debts'!$F$13&lt;&gt;"",'Your debts'!$F$7&lt;&gt;"",'Your debts'!$F$13&lt;'Your debts'!$F$7),AQ129,0)+IF(AND('Your debts'!$F$14&lt;&gt;"",'Your debts'!$F$7&lt;&gt;"",'Your debts'!$F$14&lt;'Your debts'!$F$7),AV129,0)+IF(AND('Your debts'!$F$15&lt;&gt;"",'Your debts'!$F$7&lt;&gt;"",'Your debts'!$F$15&lt;'Your debts'!$F$7),BA129,0)))))</f>
        <v/>
      </c>
      <c r="O129" s="33">
        <f>M129-N129</f>
        <v/>
      </c>
      <c r="P129" s="33">
        <f>IF(T128&lt;=0,0,ROUND(T128*(1+'Your debts'!$D$8/1200),2))</f>
        <v/>
      </c>
      <c r="Q129" s="33">
        <f>IF(P129&lt;=0,0,MIN('Your debts'!$E$8,P129))</f>
        <v/>
      </c>
      <c r="R129" s="33">
        <f>P129-Q129</f>
        <v/>
      </c>
      <c r="S129" s="33">
        <f>IF('Your debts'!$F$8="",0,MIN(R129,MAX(0,MAX(0,'Your debts'!$C$19-(G129+L129+Q129+V129+AA129+AF129+AK129+AP129+AU129+AZ129))-(IF(AND('Your debts'!$F$6&lt;&gt;"",'Your debts'!$F$8&lt;&gt;"",'Your debts'!$F$6&lt;'Your debts'!$F$8),H129,0)+IF(AND('Your debts'!$F$7&lt;&gt;"",'Your debts'!$F$8&lt;&gt;"",'Your debts'!$F$7&lt;'Your debts'!$F$8),M129,0)+IF(AND('Your debts'!$F$9&lt;&gt;"",'Your debts'!$F$8&lt;&gt;"",'Your debts'!$F$9&lt;'Your debts'!$F$8),W129,0)+IF(AND('Your debts'!$F$10&lt;&gt;"",'Your debts'!$F$8&lt;&gt;"",'Your debts'!$F$10&lt;'Your debts'!$F$8),AB129,0)+IF(AND('Your debts'!$F$11&lt;&gt;"",'Your debts'!$F$8&lt;&gt;"",'Your debts'!$F$11&lt;'Your debts'!$F$8),AG129,0)+IF(AND('Your debts'!$F$12&lt;&gt;"",'Your debts'!$F$8&lt;&gt;"",'Your debts'!$F$12&lt;'Your debts'!$F$8),AL129,0)+IF(AND('Your debts'!$F$13&lt;&gt;"",'Your debts'!$F$8&lt;&gt;"",'Your debts'!$F$13&lt;'Your debts'!$F$8),AQ129,0)+IF(AND('Your debts'!$F$14&lt;&gt;"",'Your debts'!$F$8&lt;&gt;"",'Your debts'!$F$14&lt;'Your debts'!$F$8),AV129,0)+IF(AND('Your debts'!$F$15&lt;&gt;"",'Your debts'!$F$8&lt;&gt;"",'Your debts'!$F$15&lt;'Your debts'!$F$8),BA129,0)))))</f>
        <v/>
      </c>
      <c r="T129" s="33">
        <f>R129-S129</f>
        <v/>
      </c>
      <c r="U129" s="33">
        <f>IF(Y128&lt;=0,0,ROUND(Y128*(1+'Your debts'!$D$9/1200),2))</f>
        <v/>
      </c>
      <c r="V129" s="33">
        <f>IF(U129&lt;=0,0,MIN('Your debts'!$E$9,U129))</f>
        <v/>
      </c>
      <c r="W129" s="33">
        <f>U129-V129</f>
        <v/>
      </c>
      <c r="X129" s="33">
        <f>IF('Your debts'!$F$9="",0,MIN(W129,MAX(0,MAX(0,'Your debts'!$C$19-(G129+L129+Q129+V129+AA129+AF129+AK129+AP129+AU129+AZ129))-(IF(AND('Your debts'!$F$6&lt;&gt;"",'Your debts'!$F$9&lt;&gt;"",'Your debts'!$F$6&lt;'Your debts'!$F$9),H129,0)+IF(AND('Your debts'!$F$7&lt;&gt;"",'Your debts'!$F$9&lt;&gt;"",'Your debts'!$F$7&lt;'Your debts'!$F$9),M129,0)+IF(AND('Your debts'!$F$8&lt;&gt;"",'Your debts'!$F$9&lt;&gt;"",'Your debts'!$F$8&lt;'Your debts'!$F$9),R129,0)+IF(AND('Your debts'!$F$10&lt;&gt;"",'Your debts'!$F$9&lt;&gt;"",'Your debts'!$F$10&lt;'Your debts'!$F$9),AB129,0)+IF(AND('Your debts'!$F$11&lt;&gt;"",'Your debts'!$F$9&lt;&gt;"",'Your debts'!$F$11&lt;'Your debts'!$F$9),AG129,0)+IF(AND('Your debts'!$F$12&lt;&gt;"",'Your debts'!$F$9&lt;&gt;"",'Your debts'!$F$12&lt;'Your debts'!$F$9),AL129,0)+IF(AND('Your debts'!$F$13&lt;&gt;"",'Your debts'!$F$9&lt;&gt;"",'Your debts'!$F$13&lt;'Your debts'!$F$9),AQ129,0)+IF(AND('Your debts'!$F$14&lt;&gt;"",'Your debts'!$F$9&lt;&gt;"",'Your debts'!$F$14&lt;'Your debts'!$F$9),AV129,0)+IF(AND('Your debts'!$F$15&lt;&gt;"",'Your debts'!$F$9&lt;&gt;"",'Your debts'!$F$15&lt;'Your debts'!$F$9),BA129,0)))))</f>
        <v/>
      </c>
      <c r="Y129" s="33">
        <f>W129-X129</f>
        <v/>
      </c>
      <c r="Z129" s="33">
        <f>IF(AD128&lt;=0,0,ROUND(AD128*(1+'Your debts'!$D$10/1200),2))</f>
        <v/>
      </c>
      <c r="AA129" s="33">
        <f>IF(Z129&lt;=0,0,MIN('Your debts'!$E$10,Z129))</f>
        <v/>
      </c>
      <c r="AB129" s="33">
        <f>Z129-AA129</f>
        <v/>
      </c>
      <c r="AC129" s="33">
        <f>IF('Your debts'!$F$10="",0,MIN(AB129,MAX(0,MAX(0,'Your debts'!$C$19-(G129+L129+Q129+V129+AA129+AF129+AK129+AP129+AU129+AZ129))-(IF(AND('Your debts'!$F$6&lt;&gt;"",'Your debts'!$F$10&lt;&gt;"",'Your debts'!$F$6&lt;'Your debts'!$F$10),H129,0)+IF(AND('Your debts'!$F$7&lt;&gt;"",'Your debts'!$F$10&lt;&gt;"",'Your debts'!$F$7&lt;'Your debts'!$F$10),M129,0)+IF(AND('Your debts'!$F$8&lt;&gt;"",'Your debts'!$F$10&lt;&gt;"",'Your debts'!$F$8&lt;'Your debts'!$F$10),R129,0)+IF(AND('Your debts'!$F$9&lt;&gt;"",'Your debts'!$F$10&lt;&gt;"",'Your debts'!$F$9&lt;'Your debts'!$F$10),W129,0)+IF(AND('Your debts'!$F$11&lt;&gt;"",'Your debts'!$F$10&lt;&gt;"",'Your debts'!$F$11&lt;'Your debts'!$F$10),AG129,0)+IF(AND('Your debts'!$F$12&lt;&gt;"",'Your debts'!$F$10&lt;&gt;"",'Your debts'!$F$12&lt;'Your debts'!$F$10),AL129,0)+IF(AND('Your debts'!$F$13&lt;&gt;"",'Your debts'!$F$10&lt;&gt;"",'Your debts'!$F$13&lt;'Your debts'!$F$10),AQ129,0)+IF(AND('Your debts'!$F$14&lt;&gt;"",'Your debts'!$F$10&lt;&gt;"",'Your debts'!$F$14&lt;'Your debts'!$F$10),AV129,0)+IF(AND('Your debts'!$F$15&lt;&gt;"",'Your debts'!$F$10&lt;&gt;"",'Your debts'!$F$15&lt;'Your debts'!$F$10),BA129,0)))))</f>
        <v/>
      </c>
      <c r="AD129" s="33">
        <f>AB129-AC129</f>
        <v/>
      </c>
      <c r="AE129" s="33">
        <f>IF(AI128&lt;=0,0,ROUND(AI128*(1+'Your debts'!$D$11/1200),2))</f>
        <v/>
      </c>
      <c r="AF129" s="33">
        <f>IF(AE129&lt;=0,0,MIN('Your debts'!$E$11,AE129))</f>
        <v/>
      </c>
      <c r="AG129" s="33">
        <f>AE129-AF129</f>
        <v/>
      </c>
      <c r="AH129" s="33">
        <f>IF('Your debts'!$F$11="",0,MIN(AG129,MAX(0,MAX(0,'Your debts'!$C$19-(G129+L129+Q129+V129+AA129+AF129+AK129+AP129+AU129+AZ129))-(IF(AND('Your debts'!$F$6&lt;&gt;"",'Your debts'!$F$11&lt;&gt;"",'Your debts'!$F$6&lt;'Your debts'!$F$11),H129,0)+IF(AND('Your debts'!$F$7&lt;&gt;"",'Your debts'!$F$11&lt;&gt;"",'Your debts'!$F$7&lt;'Your debts'!$F$11),M129,0)+IF(AND('Your debts'!$F$8&lt;&gt;"",'Your debts'!$F$11&lt;&gt;"",'Your debts'!$F$8&lt;'Your debts'!$F$11),R129,0)+IF(AND('Your debts'!$F$9&lt;&gt;"",'Your debts'!$F$11&lt;&gt;"",'Your debts'!$F$9&lt;'Your debts'!$F$11),W129,0)+IF(AND('Your debts'!$F$10&lt;&gt;"",'Your debts'!$F$11&lt;&gt;"",'Your debts'!$F$10&lt;'Your debts'!$F$11),AB129,0)+IF(AND('Your debts'!$F$12&lt;&gt;"",'Your debts'!$F$11&lt;&gt;"",'Your debts'!$F$12&lt;'Your debts'!$F$11),AL129,0)+IF(AND('Your debts'!$F$13&lt;&gt;"",'Your debts'!$F$11&lt;&gt;"",'Your debts'!$F$13&lt;'Your debts'!$F$11),AQ129,0)+IF(AND('Your debts'!$F$14&lt;&gt;"",'Your debts'!$F$11&lt;&gt;"",'Your debts'!$F$14&lt;'Your debts'!$F$11),AV129,0)+IF(AND('Your debts'!$F$15&lt;&gt;"",'Your debts'!$F$11&lt;&gt;"",'Your debts'!$F$15&lt;'Your debts'!$F$11),BA129,0)))))</f>
        <v/>
      </c>
      <c r="AI129" s="33">
        <f>AG129-AH129</f>
        <v/>
      </c>
      <c r="AJ129" s="33">
        <f>IF(AN128&lt;=0,0,ROUND(AN128*(1+'Your debts'!$D$12/1200),2))</f>
        <v/>
      </c>
      <c r="AK129" s="33">
        <f>IF(AJ129&lt;=0,0,MIN('Your debts'!$E$12,AJ129))</f>
        <v/>
      </c>
      <c r="AL129" s="33">
        <f>AJ129-AK129</f>
        <v/>
      </c>
      <c r="AM129" s="33">
        <f>IF('Your debts'!$F$12="",0,MIN(AL129,MAX(0,MAX(0,'Your debts'!$C$19-(G129+L129+Q129+V129+AA129+AF129+AK129+AP129+AU129+AZ129))-(IF(AND('Your debts'!$F$6&lt;&gt;"",'Your debts'!$F$12&lt;&gt;"",'Your debts'!$F$6&lt;'Your debts'!$F$12),H129,0)+IF(AND('Your debts'!$F$7&lt;&gt;"",'Your debts'!$F$12&lt;&gt;"",'Your debts'!$F$7&lt;'Your debts'!$F$12),M129,0)+IF(AND('Your debts'!$F$8&lt;&gt;"",'Your debts'!$F$12&lt;&gt;"",'Your debts'!$F$8&lt;'Your debts'!$F$12),R129,0)+IF(AND('Your debts'!$F$9&lt;&gt;"",'Your debts'!$F$12&lt;&gt;"",'Your debts'!$F$9&lt;'Your debts'!$F$12),W129,0)+IF(AND('Your debts'!$F$10&lt;&gt;"",'Your debts'!$F$12&lt;&gt;"",'Your debts'!$F$10&lt;'Your debts'!$F$12),AB129,0)+IF(AND('Your debts'!$F$11&lt;&gt;"",'Your debts'!$F$12&lt;&gt;"",'Your debts'!$F$11&lt;'Your debts'!$F$12),AG129,0)+IF(AND('Your debts'!$F$13&lt;&gt;"",'Your debts'!$F$12&lt;&gt;"",'Your debts'!$F$13&lt;'Your debts'!$F$12),AQ129,0)+IF(AND('Your debts'!$F$14&lt;&gt;"",'Your debts'!$F$12&lt;&gt;"",'Your debts'!$F$14&lt;'Your debts'!$F$12),AV129,0)+IF(AND('Your debts'!$F$15&lt;&gt;"",'Your debts'!$F$12&lt;&gt;"",'Your debts'!$F$15&lt;'Your debts'!$F$12),BA129,0)))))</f>
        <v/>
      </c>
      <c r="AN129" s="33">
        <f>AL129-AM129</f>
        <v/>
      </c>
      <c r="AO129" s="33">
        <f>IF(AS128&lt;=0,0,ROUND(AS128*(1+'Your debts'!$D$13/1200),2))</f>
        <v/>
      </c>
      <c r="AP129" s="33">
        <f>IF(AO129&lt;=0,0,MIN('Your debts'!$E$13,AO129))</f>
        <v/>
      </c>
      <c r="AQ129" s="33">
        <f>AO129-AP129</f>
        <v/>
      </c>
      <c r="AR129" s="33">
        <f>IF('Your debts'!$F$13="",0,MIN(AQ129,MAX(0,MAX(0,'Your debts'!$C$19-(G129+L129+Q129+V129+AA129+AF129+AK129+AP129+AU129+AZ129))-(IF(AND('Your debts'!$F$6&lt;&gt;"",'Your debts'!$F$13&lt;&gt;"",'Your debts'!$F$6&lt;'Your debts'!$F$13),H129,0)+IF(AND('Your debts'!$F$7&lt;&gt;"",'Your debts'!$F$13&lt;&gt;"",'Your debts'!$F$7&lt;'Your debts'!$F$13),M129,0)+IF(AND('Your debts'!$F$8&lt;&gt;"",'Your debts'!$F$13&lt;&gt;"",'Your debts'!$F$8&lt;'Your debts'!$F$13),R129,0)+IF(AND('Your debts'!$F$9&lt;&gt;"",'Your debts'!$F$13&lt;&gt;"",'Your debts'!$F$9&lt;'Your debts'!$F$13),W129,0)+IF(AND('Your debts'!$F$10&lt;&gt;"",'Your debts'!$F$13&lt;&gt;"",'Your debts'!$F$10&lt;'Your debts'!$F$13),AB129,0)+IF(AND('Your debts'!$F$11&lt;&gt;"",'Your debts'!$F$13&lt;&gt;"",'Your debts'!$F$11&lt;'Your debts'!$F$13),AG129,0)+IF(AND('Your debts'!$F$12&lt;&gt;"",'Your debts'!$F$13&lt;&gt;"",'Your debts'!$F$12&lt;'Your debts'!$F$13),AL129,0)+IF(AND('Your debts'!$F$14&lt;&gt;"",'Your debts'!$F$13&lt;&gt;"",'Your debts'!$F$14&lt;'Your debts'!$F$13),AV129,0)+IF(AND('Your debts'!$F$15&lt;&gt;"",'Your debts'!$F$13&lt;&gt;"",'Your debts'!$F$15&lt;'Your debts'!$F$13),BA129,0)))))</f>
        <v/>
      </c>
      <c r="AS129" s="33">
        <f>AQ129-AR129</f>
        <v/>
      </c>
      <c r="AT129" s="33">
        <f>IF(AX128&lt;=0,0,ROUND(AX128*(1+'Your debts'!$D$14/1200),2))</f>
        <v/>
      </c>
      <c r="AU129" s="33">
        <f>IF(AT129&lt;=0,0,MIN('Your debts'!$E$14,AT129))</f>
        <v/>
      </c>
      <c r="AV129" s="33">
        <f>AT129-AU129</f>
        <v/>
      </c>
      <c r="AW129" s="33">
        <f>IF('Your debts'!$F$14="",0,MIN(AV129,MAX(0,MAX(0,'Your debts'!$C$19-(G129+L129+Q129+V129+AA129+AF129+AK129+AP129+AU129+AZ129))-(IF(AND('Your debts'!$F$6&lt;&gt;"",'Your debts'!$F$14&lt;&gt;"",'Your debts'!$F$6&lt;'Your debts'!$F$14),H129,0)+IF(AND('Your debts'!$F$7&lt;&gt;"",'Your debts'!$F$14&lt;&gt;"",'Your debts'!$F$7&lt;'Your debts'!$F$14),M129,0)+IF(AND('Your debts'!$F$8&lt;&gt;"",'Your debts'!$F$14&lt;&gt;"",'Your debts'!$F$8&lt;'Your debts'!$F$14),R129,0)+IF(AND('Your debts'!$F$9&lt;&gt;"",'Your debts'!$F$14&lt;&gt;"",'Your debts'!$F$9&lt;'Your debts'!$F$14),W129,0)+IF(AND('Your debts'!$F$10&lt;&gt;"",'Your debts'!$F$14&lt;&gt;"",'Your debts'!$F$10&lt;'Your debts'!$F$14),AB129,0)+IF(AND('Your debts'!$F$11&lt;&gt;"",'Your debts'!$F$14&lt;&gt;"",'Your debts'!$F$11&lt;'Your debts'!$F$14),AG129,0)+IF(AND('Your debts'!$F$12&lt;&gt;"",'Your debts'!$F$14&lt;&gt;"",'Your debts'!$F$12&lt;'Your debts'!$F$14),AL129,0)+IF(AND('Your debts'!$F$13&lt;&gt;"",'Your debts'!$F$14&lt;&gt;"",'Your debts'!$F$13&lt;'Your debts'!$F$14),AQ129,0)+IF(AND('Your debts'!$F$15&lt;&gt;"",'Your debts'!$F$14&lt;&gt;"",'Your debts'!$F$15&lt;'Your debts'!$F$14),BA129,0)))))</f>
        <v/>
      </c>
      <c r="AX129" s="33">
        <f>AV129-AW129</f>
        <v/>
      </c>
      <c r="AY129" s="33">
        <f>IF(BC128&lt;=0,0,ROUND(BC128*(1+'Your debts'!$D$15/1200),2))</f>
        <v/>
      </c>
      <c r="AZ129" s="33">
        <f>IF(AY129&lt;=0,0,MIN('Your debts'!$E$15,AY129))</f>
        <v/>
      </c>
      <c r="BA129" s="33">
        <f>AY129-AZ129</f>
        <v/>
      </c>
      <c r="BB129" s="33">
        <f>IF('Your debts'!$F$15="",0,MIN(BA129,MAX(0,MAX(0,'Your debts'!$C$19-(G129+L129+Q129+V129+AA129+AF129+AK129+AP129+AU129+AZ129))-(IF(AND('Your debts'!$F$6&lt;&gt;"",'Your debts'!$F$15&lt;&gt;"",'Your debts'!$F$6&lt;'Your debts'!$F$15),H129,0)+IF(AND('Your debts'!$F$7&lt;&gt;"",'Your debts'!$F$15&lt;&gt;"",'Your debts'!$F$7&lt;'Your debts'!$F$15),M129,0)+IF(AND('Your debts'!$F$8&lt;&gt;"",'Your debts'!$F$15&lt;&gt;"",'Your debts'!$F$8&lt;'Your debts'!$F$15),R129,0)+IF(AND('Your debts'!$F$9&lt;&gt;"",'Your debts'!$F$15&lt;&gt;"",'Your debts'!$F$9&lt;'Your debts'!$F$15),W129,0)+IF(AND('Your debts'!$F$10&lt;&gt;"",'Your debts'!$F$15&lt;&gt;"",'Your debts'!$F$10&lt;'Your debts'!$F$15),AB129,0)+IF(AND('Your debts'!$F$11&lt;&gt;"",'Your debts'!$F$15&lt;&gt;"",'Your debts'!$F$11&lt;'Your debts'!$F$15),AG129,0)+IF(AND('Your debts'!$F$12&lt;&gt;"",'Your debts'!$F$15&lt;&gt;"",'Your debts'!$F$12&lt;'Your debts'!$F$15),AL129,0)+IF(AND('Your debts'!$F$13&lt;&gt;"",'Your debts'!$F$15&lt;&gt;"",'Your debts'!$F$13&lt;'Your debts'!$F$15),AQ129,0)+IF(AND('Your debts'!$F$14&lt;&gt;"",'Your debts'!$F$15&lt;&gt;"",'Your debts'!$F$14&lt;'Your debts'!$F$15),AV129,0)))))</f>
        <v/>
      </c>
      <c r="BC129" s="33">
        <f>BA129-BB129</f>
        <v/>
      </c>
    </row>
    <row r="130">
      <c r="A130" s="30" t="n">
        <v>115</v>
      </c>
      <c r="B130" s="31">
        <f>EDATE($B$15,115)</f>
        <v/>
      </c>
      <c r="C130" s="32">
        <f>IF(J129&lt;=0,0,F130-J129)+IF(O129&lt;=0,0,K130-O129)+IF(T129&lt;=0,0,P130-T129)+IF(Y129&lt;=0,0,U130-Y129)+IF(AD129&lt;=0,0,Z130-AD129)+IF(AI129&lt;=0,0,AE130-AI129)+IF(AN129&lt;=0,0,AJ130-AN129)+IF(AS129&lt;=0,0,AO130-AS129)+IF(AX129&lt;=0,0,AT130-AX129)+IF(BC129&lt;=0,0,AY130-BC129)</f>
        <v/>
      </c>
      <c r="D130" s="32">
        <f>G130+I130+L130+N130+Q130+S130+V130+X130+AA130+AC130+AF130+AH130+AK130+AM130+AP130+AR130+AU130+AW130+AZ130+BB130</f>
        <v/>
      </c>
      <c r="E130" s="32">
        <f>J130+O130+T130+Y130+AD130+AI130+AN130+AS130+AX130+BC130</f>
        <v/>
      </c>
      <c r="F130" s="33">
        <f>IF(J129&lt;=0,0,ROUND(J129*(1+'Your debts'!$D$6/1200),2))</f>
        <v/>
      </c>
      <c r="G130" s="33">
        <f>IF(F130&lt;=0,0,MIN('Your debts'!$E$6,F130))</f>
        <v/>
      </c>
      <c r="H130" s="33">
        <f>F130-G130</f>
        <v/>
      </c>
      <c r="I130" s="33">
        <f>IF('Your debts'!$F$6="",0,MIN(H130,MAX(0,MAX(0,'Your debts'!$C$19-(G130+L130+Q130+V130+AA130+AF130+AK130+AP130+AU130+AZ130))-(IF(AND('Your debts'!$F$7&lt;&gt;"",'Your debts'!$F$6&lt;&gt;"",'Your debts'!$F$7&lt;'Your debts'!$F$6),M130,0)+IF(AND('Your debts'!$F$8&lt;&gt;"",'Your debts'!$F$6&lt;&gt;"",'Your debts'!$F$8&lt;'Your debts'!$F$6),R130,0)+IF(AND('Your debts'!$F$9&lt;&gt;"",'Your debts'!$F$6&lt;&gt;"",'Your debts'!$F$9&lt;'Your debts'!$F$6),W130,0)+IF(AND('Your debts'!$F$10&lt;&gt;"",'Your debts'!$F$6&lt;&gt;"",'Your debts'!$F$10&lt;'Your debts'!$F$6),AB130,0)+IF(AND('Your debts'!$F$11&lt;&gt;"",'Your debts'!$F$6&lt;&gt;"",'Your debts'!$F$11&lt;'Your debts'!$F$6),AG130,0)+IF(AND('Your debts'!$F$12&lt;&gt;"",'Your debts'!$F$6&lt;&gt;"",'Your debts'!$F$12&lt;'Your debts'!$F$6),AL130,0)+IF(AND('Your debts'!$F$13&lt;&gt;"",'Your debts'!$F$6&lt;&gt;"",'Your debts'!$F$13&lt;'Your debts'!$F$6),AQ130,0)+IF(AND('Your debts'!$F$14&lt;&gt;"",'Your debts'!$F$6&lt;&gt;"",'Your debts'!$F$14&lt;'Your debts'!$F$6),AV130,0)+IF(AND('Your debts'!$F$15&lt;&gt;"",'Your debts'!$F$6&lt;&gt;"",'Your debts'!$F$15&lt;'Your debts'!$F$6),BA130,0)))))</f>
        <v/>
      </c>
      <c r="J130" s="33">
        <f>H130-I130</f>
        <v/>
      </c>
      <c r="K130" s="33">
        <f>IF(O129&lt;=0,0,ROUND(O129*(1+'Your debts'!$D$7/1200),2))</f>
        <v/>
      </c>
      <c r="L130" s="33">
        <f>IF(K130&lt;=0,0,MIN('Your debts'!$E$7,K130))</f>
        <v/>
      </c>
      <c r="M130" s="33">
        <f>K130-L130</f>
        <v/>
      </c>
      <c r="N130" s="33">
        <f>IF('Your debts'!$F$7="",0,MIN(M130,MAX(0,MAX(0,'Your debts'!$C$19-(G130+L130+Q130+V130+AA130+AF130+AK130+AP130+AU130+AZ130))-(IF(AND('Your debts'!$F$6&lt;&gt;"",'Your debts'!$F$7&lt;&gt;"",'Your debts'!$F$6&lt;'Your debts'!$F$7),H130,0)+IF(AND('Your debts'!$F$8&lt;&gt;"",'Your debts'!$F$7&lt;&gt;"",'Your debts'!$F$8&lt;'Your debts'!$F$7),R130,0)+IF(AND('Your debts'!$F$9&lt;&gt;"",'Your debts'!$F$7&lt;&gt;"",'Your debts'!$F$9&lt;'Your debts'!$F$7),W130,0)+IF(AND('Your debts'!$F$10&lt;&gt;"",'Your debts'!$F$7&lt;&gt;"",'Your debts'!$F$10&lt;'Your debts'!$F$7),AB130,0)+IF(AND('Your debts'!$F$11&lt;&gt;"",'Your debts'!$F$7&lt;&gt;"",'Your debts'!$F$11&lt;'Your debts'!$F$7),AG130,0)+IF(AND('Your debts'!$F$12&lt;&gt;"",'Your debts'!$F$7&lt;&gt;"",'Your debts'!$F$12&lt;'Your debts'!$F$7),AL130,0)+IF(AND('Your debts'!$F$13&lt;&gt;"",'Your debts'!$F$7&lt;&gt;"",'Your debts'!$F$13&lt;'Your debts'!$F$7),AQ130,0)+IF(AND('Your debts'!$F$14&lt;&gt;"",'Your debts'!$F$7&lt;&gt;"",'Your debts'!$F$14&lt;'Your debts'!$F$7),AV130,0)+IF(AND('Your debts'!$F$15&lt;&gt;"",'Your debts'!$F$7&lt;&gt;"",'Your debts'!$F$15&lt;'Your debts'!$F$7),BA130,0)))))</f>
        <v/>
      </c>
      <c r="O130" s="33">
        <f>M130-N130</f>
        <v/>
      </c>
      <c r="P130" s="33">
        <f>IF(T129&lt;=0,0,ROUND(T129*(1+'Your debts'!$D$8/1200),2))</f>
        <v/>
      </c>
      <c r="Q130" s="33">
        <f>IF(P130&lt;=0,0,MIN('Your debts'!$E$8,P130))</f>
        <v/>
      </c>
      <c r="R130" s="33">
        <f>P130-Q130</f>
        <v/>
      </c>
      <c r="S130" s="33">
        <f>IF('Your debts'!$F$8="",0,MIN(R130,MAX(0,MAX(0,'Your debts'!$C$19-(G130+L130+Q130+V130+AA130+AF130+AK130+AP130+AU130+AZ130))-(IF(AND('Your debts'!$F$6&lt;&gt;"",'Your debts'!$F$8&lt;&gt;"",'Your debts'!$F$6&lt;'Your debts'!$F$8),H130,0)+IF(AND('Your debts'!$F$7&lt;&gt;"",'Your debts'!$F$8&lt;&gt;"",'Your debts'!$F$7&lt;'Your debts'!$F$8),M130,0)+IF(AND('Your debts'!$F$9&lt;&gt;"",'Your debts'!$F$8&lt;&gt;"",'Your debts'!$F$9&lt;'Your debts'!$F$8),W130,0)+IF(AND('Your debts'!$F$10&lt;&gt;"",'Your debts'!$F$8&lt;&gt;"",'Your debts'!$F$10&lt;'Your debts'!$F$8),AB130,0)+IF(AND('Your debts'!$F$11&lt;&gt;"",'Your debts'!$F$8&lt;&gt;"",'Your debts'!$F$11&lt;'Your debts'!$F$8),AG130,0)+IF(AND('Your debts'!$F$12&lt;&gt;"",'Your debts'!$F$8&lt;&gt;"",'Your debts'!$F$12&lt;'Your debts'!$F$8),AL130,0)+IF(AND('Your debts'!$F$13&lt;&gt;"",'Your debts'!$F$8&lt;&gt;"",'Your debts'!$F$13&lt;'Your debts'!$F$8),AQ130,0)+IF(AND('Your debts'!$F$14&lt;&gt;"",'Your debts'!$F$8&lt;&gt;"",'Your debts'!$F$14&lt;'Your debts'!$F$8),AV130,0)+IF(AND('Your debts'!$F$15&lt;&gt;"",'Your debts'!$F$8&lt;&gt;"",'Your debts'!$F$15&lt;'Your debts'!$F$8),BA130,0)))))</f>
        <v/>
      </c>
      <c r="T130" s="33">
        <f>R130-S130</f>
        <v/>
      </c>
      <c r="U130" s="33">
        <f>IF(Y129&lt;=0,0,ROUND(Y129*(1+'Your debts'!$D$9/1200),2))</f>
        <v/>
      </c>
      <c r="V130" s="33">
        <f>IF(U130&lt;=0,0,MIN('Your debts'!$E$9,U130))</f>
        <v/>
      </c>
      <c r="W130" s="33">
        <f>U130-V130</f>
        <v/>
      </c>
      <c r="X130" s="33">
        <f>IF('Your debts'!$F$9="",0,MIN(W130,MAX(0,MAX(0,'Your debts'!$C$19-(G130+L130+Q130+V130+AA130+AF130+AK130+AP130+AU130+AZ130))-(IF(AND('Your debts'!$F$6&lt;&gt;"",'Your debts'!$F$9&lt;&gt;"",'Your debts'!$F$6&lt;'Your debts'!$F$9),H130,0)+IF(AND('Your debts'!$F$7&lt;&gt;"",'Your debts'!$F$9&lt;&gt;"",'Your debts'!$F$7&lt;'Your debts'!$F$9),M130,0)+IF(AND('Your debts'!$F$8&lt;&gt;"",'Your debts'!$F$9&lt;&gt;"",'Your debts'!$F$8&lt;'Your debts'!$F$9),R130,0)+IF(AND('Your debts'!$F$10&lt;&gt;"",'Your debts'!$F$9&lt;&gt;"",'Your debts'!$F$10&lt;'Your debts'!$F$9),AB130,0)+IF(AND('Your debts'!$F$11&lt;&gt;"",'Your debts'!$F$9&lt;&gt;"",'Your debts'!$F$11&lt;'Your debts'!$F$9),AG130,0)+IF(AND('Your debts'!$F$12&lt;&gt;"",'Your debts'!$F$9&lt;&gt;"",'Your debts'!$F$12&lt;'Your debts'!$F$9),AL130,0)+IF(AND('Your debts'!$F$13&lt;&gt;"",'Your debts'!$F$9&lt;&gt;"",'Your debts'!$F$13&lt;'Your debts'!$F$9),AQ130,0)+IF(AND('Your debts'!$F$14&lt;&gt;"",'Your debts'!$F$9&lt;&gt;"",'Your debts'!$F$14&lt;'Your debts'!$F$9),AV130,0)+IF(AND('Your debts'!$F$15&lt;&gt;"",'Your debts'!$F$9&lt;&gt;"",'Your debts'!$F$15&lt;'Your debts'!$F$9),BA130,0)))))</f>
        <v/>
      </c>
      <c r="Y130" s="33">
        <f>W130-X130</f>
        <v/>
      </c>
      <c r="Z130" s="33">
        <f>IF(AD129&lt;=0,0,ROUND(AD129*(1+'Your debts'!$D$10/1200),2))</f>
        <v/>
      </c>
      <c r="AA130" s="33">
        <f>IF(Z130&lt;=0,0,MIN('Your debts'!$E$10,Z130))</f>
        <v/>
      </c>
      <c r="AB130" s="33">
        <f>Z130-AA130</f>
        <v/>
      </c>
      <c r="AC130" s="33">
        <f>IF('Your debts'!$F$10="",0,MIN(AB130,MAX(0,MAX(0,'Your debts'!$C$19-(G130+L130+Q130+V130+AA130+AF130+AK130+AP130+AU130+AZ130))-(IF(AND('Your debts'!$F$6&lt;&gt;"",'Your debts'!$F$10&lt;&gt;"",'Your debts'!$F$6&lt;'Your debts'!$F$10),H130,0)+IF(AND('Your debts'!$F$7&lt;&gt;"",'Your debts'!$F$10&lt;&gt;"",'Your debts'!$F$7&lt;'Your debts'!$F$10),M130,0)+IF(AND('Your debts'!$F$8&lt;&gt;"",'Your debts'!$F$10&lt;&gt;"",'Your debts'!$F$8&lt;'Your debts'!$F$10),R130,0)+IF(AND('Your debts'!$F$9&lt;&gt;"",'Your debts'!$F$10&lt;&gt;"",'Your debts'!$F$9&lt;'Your debts'!$F$10),W130,0)+IF(AND('Your debts'!$F$11&lt;&gt;"",'Your debts'!$F$10&lt;&gt;"",'Your debts'!$F$11&lt;'Your debts'!$F$10),AG130,0)+IF(AND('Your debts'!$F$12&lt;&gt;"",'Your debts'!$F$10&lt;&gt;"",'Your debts'!$F$12&lt;'Your debts'!$F$10),AL130,0)+IF(AND('Your debts'!$F$13&lt;&gt;"",'Your debts'!$F$10&lt;&gt;"",'Your debts'!$F$13&lt;'Your debts'!$F$10),AQ130,0)+IF(AND('Your debts'!$F$14&lt;&gt;"",'Your debts'!$F$10&lt;&gt;"",'Your debts'!$F$14&lt;'Your debts'!$F$10),AV130,0)+IF(AND('Your debts'!$F$15&lt;&gt;"",'Your debts'!$F$10&lt;&gt;"",'Your debts'!$F$15&lt;'Your debts'!$F$10),BA130,0)))))</f>
        <v/>
      </c>
      <c r="AD130" s="33">
        <f>AB130-AC130</f>
        <v/>
      </c>
      <c r="AE130" s="33">
        <f>IF(AI129&lt;=0,0,ROUND(AI129*(1+'Your debts'!$D$11/1200),2))</f>
        <v/>
      </c>
      <c r="AF130" s="33">
        <f>IF(AE130&lt;=0,0,MIN('Your debts'!$E$11,AE130))</f>
        <v/>
      </c>
      <c r="AG130" s="33">
        <f>AE130-AF130</f>
        <v/>
      </c>
      <c r="AH130" s="33">
        <f>IF('Your debts'!$F$11="",0,MIN(AG130,MAX(0,MAX(0,'Your debts'!$C$19-(G130+L130+Q130+V130+AA130+AF130+AK130+AP130+AU130+AZ130))-(IF(AND('Your debts'!$F$6&lt;&gt;"",'Your debts'!$F$11&lt;&gt;"",'Your debts'!$F$6&lt;'Your debts'!$F$11),H130,0)+IF(AND('Your debts'!$F$7&lt;&gt;"",'Your debts'!$F$11&lt;&gt;"",'Your debts'!$F$7&lt;'Your debts'!$F$11),M130,0)+IF(AND('Your debts'!$F$8&lt;&gt;"",'Your debts'!$F$11&lt;&gt;"",'Your debts'!$F$8&lt;'Your debts'!$F$11),R130,0)+IF(AND('Your debts'!$F$9&lt;&gt;"",'Your debts'!$F$11&lt;&gt;"",'Your debts'!$F$9&lt;'Your debts'!$F$11),W130,0)+IF(AND('Your debts'!$F$10&lt;&gt;"",'Your debts'!$F$11&lt;&gt;"",'Your debts'!$F$10&lt;'Your debts'!$F$11),AB130,0)+IF(AND('Your debts'!$F$12&lt;&gt;"",'Your debts'!$F$11&lt;&gt;"",'Your debts'!$F$12&lt;'Your debts'!$F$11),AL130,0)+IF(AND('Your debts'!$F$13&lt;&gt;"",'Your debts'!$F$11&lt;&gt;"",'Your debts'!$F$13&lt;'Your debts'!$F$11),AQ130,0)+IF(AND('Your debts'!$F$14&lt;&gt;"",'Your debts'!$F$11&lt;&gt;"",'Your debts'!$F$14&lt;'Your debts'!$F$11),AV130,0)+IF(AND('Your debts'!$F$15&lt;&gt;"",'Your debts'!$F$11&lt;&gt;"",'Your debts'!$F$15&lt;'Your debts'!$F$11),BA130,0)))))</f>
        <v/>
      </c>
      <c r="AI130" s="33">
        <f>AG130-AH130</f>
        <v/>
      </c>
      <c r="AJ130" s="33">
        <f>IF(AN129&lt;=0,0,ROUND(AN129*(1+'Your debts'!$D$12/1200),2))</f>
        <v/>
      </c>
      <c r="AK130" s="33">
        <f>IF(AJ130&lt;=0,0,MIN('Your debts'!$E$12,AJ130))</f>
        <v/>
      </c>
      <c r="AL130" s="33">
        <f>AJ130-AK130</f>
        <v/>
      </c>
      <c r="AM130" s="33">
        <f>IF('Your debts'!$F$12="",0,MIN(AL130,MAX(0,MAX(0,'Your debts'!$C$19-(G130+L130+Q130+V130+AA130+AF130+AK130+AP130+AU130+AZ130))-(IF(AND('Your debts'!$F$6&lt;&gt;"",'Your debts'!$F$12&lt;&gt;"",'Your debts'!$F$6&lt;'Your debts'!$F$12),H130,0)+IF(AND('Your debts'!$F$7&lt;&gt;"",'Your debts'!$F$12&lt;&gt;"",'Your debts'!$F$7&lt;'Your debts'!$F$12),M130,0)+IF(AND('Your debts'!$F$8&lt;&gt;"",'Your debts'!$F$12&lt;&gt;"",'Your debts'!$F$8&lt;'Your debts'!$F$12),R130,0)+IF(AND('Your debts'!$F$9&lt;&gt;"",'Your debts'!$F$12&lt;&gt;"",'Your debts'!$F$9&lt;'Your debts'!$F$12),W130,0)+IF(AND('Your debts'!$F$10&lt;&gt;"",'Your debts'!$F$12&lt;&gt;"",'Your debts'!$F$10&lt;'Your debts'!$F$12),AB130,0)+IF(AND('Your debts'!$F$11&lt;&gt;"",'Your debts'!$F$12&lt;&gt;"",'Your debts'!$F$11&lt;'Your debts'!$F$12),AG130,0)+IF(AND('Your debts'!$F$13&lt;&gt;"",'Your debts'!$F$12&lt;&gt;"",'Your debts'!$F$13&lt;'Your debts'!$F$12),AQ130,0)+IF(AND('Your debts'!$F$14&lt;&gt;"",'Your debts'!$F$12&lt;&gt;"",'Your debts'!$F$14&lt;'Your debts'!$F$12),AV130,0)+IF(AND('Your debts'!$F$15&lt;&gt;"",'Your debts'!$F$12&lt;&gt;"",'Your debts'!$F$15&lt;'Your debts'!$F$12),BA130,0)))))</f>
        <v/>
      </c>
      <c r="AN130" s="33">
        <f>AL130-AM130</f>
        <v/>
      </c>
      <c r="AO130" s="33">
        <f>IF(AS129&lt;=0,0,ROUND(AS129*(1+'Your debts'!$D$13/1200),2))</f>
        <v/>
      </c>
      <c r="AP130" s="33">
        <f>IF(AO130&lt;=0,0,MIN('Your debts'!$E$13,AO130))</f>
        <v/>
      </c>
      <c r="AQ130" s="33">
        <f>AO130-AP130</f>
        <v/>
      </c>
      <c r="AR130" s="33">
        <f>IF('Your debts'!$F$13="",0,MIN(AQ130,MAX(0,MAX(0,'Your debts'!$C$19-(G130+L130+Q130+V130+AA130+AF130+AK130+AP130+AU130+AZ130))-(IF(AND('Your debts'!$F$6&lt;&gt;"",'Your debts'!$F$13&lt;&gt;"",'Your debts'!$F$6&lt;'Your debts'!$F$13),H130,0)+IF(AND('Your debts'!$F$7&lt;&gt;"",'Your debts'!$F$13&lt;&gt;"",'Your debts'!$F$7&lt;'Your debts'!$F$13),M130,0)+IF(AND('Your debts'!$F$8&lt;&gt;"",'Your debts'!$F$13&lt;&gt;"",'Your debts'!$F$8&lt;'Your debts'!$F$13),R130,0)+IF(AND('Your debts'!$F$9&lt;&gt;"",'Your debts'!$F$13&lt;&gt;"",'Your debts'!$F$9&lt;'Your debts'!$F$13),W130,0)+IF(AND('Your debts'!$F$10&lt;&gt;"",'Your debts'!$F$13&lt;&gt;"",'Your debts'!$F$10&lt;'Your debts'!$F$13),AB130,0)+IF(AND('Your debts'!$F$11&lt;&gt;"",'Your debts'!$F$13&lt;&gt;"",'Your debts'!$F$11&lt;'Your debts'!$F$13),AG130,0)+IF(AND('Your debts'!$F$12&lt;&gt;"",'Your debts'!$F$13&lt;&gt;"",'Your debts'!$F$12&lt;'Your debts'!$F$13),AL130,0)+IF(AND('Your debts'!$F$14&lt;&gt;"",'Your debts'!$F$13&lt;&gt;"",'Your debts'!$F$14&lt;'Your debts'!$F$13),AV130,0)+IF(AND('Your debts'!$F$15&lt;&gt;"",'Your debts'!$F$13&lt;&gt;"",'Your debts'!$F$15&lt;'Your debts'!$F$13),BA130,0)))))</f>
        <v/>
      </c>
      <c r="AS130" s="33">
        <f>AQ130-AR130</f>
        <v/>
      </c>
      <c r="AT130" s="33">
        <f>IF(AX129&lt;=0,0,ROUND(AX129*(1+'Your debts'!$D$14/1200),2))</f>
        <v/>
      </c>
      <c r="AU130" s="33">
        <f>IF(AT130&lt;=0,0,MIN('Your debts'!$E$14,AT130))</f>
        <v/>
      </c>
      <c r="AV130" s="33">
        <f>AT130-AU130</f>
        <v/>
      </c>
      <c r="AW130" s="33">
        <f>IF('Your debts'!$F$14="",0,MIN(AV130,MAX(0,MAX(0,'Your debts'!$C$19-(G130+L130+Q130+V130+AA130+AF130+AK130+AP130+AU130+AZ130))-(IF(AND('Your debts'!$F$6&lt;&gt;"",'Your debts'!$F$14&lt;&gt;"",'Your debts'!$F$6&lt;'Your debts'!$F$14),H130,0)+IF(AND('Your debts'!$F$7&lt;&gt;"",'Your debts'!$F$14&lt;&gt;"",'Your debts'!$F$7&lt;'Your debts'!$F$14),M130,0)+IF(AND('Your debts'!$F$8&lt;&gt;"",'Your debts'!$F$14&lt;&gt;"",'Your debts'!$F$8&lt;'Your debts'!$F$14),R130,0)+IF(AND('Your debts'!$F$9&lt;&gt;"",'Your debts'!$F$14&lt;&gt;"",'Your debts'!$F$9&lt;'Your debts'!$F$14),W130,0)+IF(AND('Your debts'!$F$10&lt;&gt;"",'Your debts'!$F$14&lt;&gt;"",'Your debts'!$F$10&lt;'Your debts'!$F$14),AB130,0)+IF(AND('Your debts'!$F$11&lt;&gt;"",'Your debts'!$F$14&lt;&gt;"",'Your debts'!$F$11&lt;'Your debts'!$F$14),AG130,0)+IF(AND('Your debts'!$F$12&lt;&gt;"",'Your debts'!$F$14&lt;&gt;"",'Your debts'!$F$12&lt;'Your debts'!$F$14),AL130,0)+IF(AND('Your debts'!$F$13&lt;&gt;"",'Your debts'!$F$14&lt;&gt;"",'Your debts'!$F$13&lt;'Your debts'!$F$14),AQ130,0)+IF(AND('Your debts'!$F$15&lt;&gt;"",'Your debts'!$F$14&lt;&gt;"",'Your debts'!$F$15&lt;'Your debts'!$F$14),BA130,0)))))</f>
        <v/>
      </c>
      <c r="AX130" s="33">
        <f>AV130-AW130</f>
        <v/>
      </c>
      <c r="AY130" s="33">
        <f>IF(BC129&lt;=0,0,ROUND(BC129*(1+'Your debts'!$D$15/1200),2))</f>
        <v/>
      </c>
      <c r="AZ130" s="33">
        <f>IF(AY130&lt;=0,0,MIN('Your debts'!$E$15,AY130))</f>
        <v/>
      </c>
      <c r="BA130" s="33">
        <f>AY130-AZ130</f>
        <v/>
      </c>
      <c r="BB130" s="33">
        <f>IF('Your debts'!$F$15="",0,MIN(BA130,MAX(0,MAX(0,'Your debts'!$C$19-(G130+L130+Q130+V130+AA130+AF130+AK130+AP130+AU130+AZ130))-(IF(AND('Your debts'!$F$6&lt;&gt;"",'Your debts'!$F$15&lt;&gt;"",'Your debts'!$F$6&lt;'Your debts'!$F$15),H130,0)+IF(AND('Your debts'!$F$7&lt;&gt;"",'Your debts'!$F$15&lt;&gt;"",'Your debts'!$F$7&lt;'Your debts'!$F$15),M130,0)+IF(AND('Your debts'!$F$8&lt;&gt;"",'Your debts'!$F$15&lt;&gt;"",'Your debts'!$F$8&lt;'Your debts'!$F$15),R130,0)+IF(AND('Your debts'!$F$9&lt;&gt;"",'Your debts'!$F$15&lt;&gt;"",'Your debts'!$F$9&lt;'Your debts'!$F$15),W130,0)+IF(AND('Your debts'!$F$10&lt;&gt;"",'Your debts'!$F$15&lt;&gt;"",'Your debts'!$F$10&lt;'Your debts'!$F$15),AB130,0)+IF(AND('Your debts'!$F$11&lt;&gt;"",'Your debts'!$F$15&lt;&gt;"",'Your debts'!$F$11&lt;'Your debts'!$F$15),AG130,0)+IF(AND('Your debts'!$F$12&lt;&gt;"",'Your debts'!$F$15&lt;&gt;"",'Your debts'!$F$12&lt;'Your debts'!$F$15),AL130,0)+IF(AND('Your debts'!$F$13&lt;&gt;"",'Your debts'!$F$15&lt;&gt;"",'Your debts'!$F$13&lt;'Your debts'!$F$15),AQ130,0)+IF(AND('Your debts'!$F$14&lt;&gt;"",'Your debts'!$F$15&lt;&gt;"",'Your debts'!$F$14&lt;'Your debts'!$F$15),AV130,0)))))</f>
        <v/>
      </c>
      <c r="BC130" s="33">
        <f>BA130-BB130</f>
        <v/>
      </c>
    </row>
    <row r="131">
      <c r="A131" s="30" t="n">
        <v>116</v>
      </c>
      <c r="B131" s="31">
        <f>EDATE($B$15,116)</f>
        <v/>
      </c>
      <c r="C131" s="32">
        <f>IF(J130&lt;=0,0,F131-J130)+IF(O130&lt;=0,0,K131-O130)+IF(T130&lt;=0,0,P131-T130)+IF(Y130&lt;=0,0,U131-Y130)+IF(AD130&lt;=0,0,Z131-AD130)+IF(AI130&lt;=0,0,AE131-AI130)+IF(AN130&lt;=0,0,AJ131-AN130)+IF(AS130&lt;=0,0,AO131-AS130)+IF(AX130&lt;=0,0,AT131-AX130)+IF(BC130&lt;=0,0,AY131-BC130)</f>
        <v/>
      </c>
      <c r="D131" s="32">
        <f>G131+I131+L131+N131+Q131+S131+V131+X131+AA131+AC131+AF131+AH131+AK131+AM131+AP131+AR131+AU131+AW131+AZ131+BB131</f>
        <v/>
      </c>
      <c r="E131" s="32">
        <f>J131+O131+T131+Y131+AD131+AI131+AN131+AS131+AX131+BC131</f>
        <v/>
      </c>
      <c r="F131" s="33">
        <f>IF(J130&lt;=0,0,ROUND(J130*(1+'Your debts'!$D$6/1200),2))</f>
        <v/>
      </c>
      <c r="G131" s="33">
        <f>IF(F131&lt;=0,0,MIN('Your debts'!$E$6,F131))</f>
        <v/>
      </c>
      <c r="H131" s="33">
        <f>F131-G131</f>
        <v/>
      </c>
      <c r="I131" s="33">
        <f>IF('Your debts'!$F$6="",0,MIN(H131,MAX(0,MAX(0,'Your debts'!$C$19-(G131+L131+Q131+V131+AA131+AF131+AK131+AP131+AU131+AZ131))-(IF(AND('Your debts'!$F$7&lt;&gt;"",'Your debts'!$F$6&lt;&gt;"",'Your debts'!$F$7&lt;'Your debts'!$F$6),M131,0)+IF(AND('Your debts'!$F$8&lt;&gt;"",'Your debts'!$F$6&lt;&gt;"",'Your debts'!$F$8&lt;'Your debts'!$F$6),R131,0)+IF(AND('Your debts'!$F$9&lt;&gt;"",'Your debts'!$F$6&lt;&gt;"",'Your debts'!$F$9&lt;'Your debts'!$F$6),W131,0)+IF(AND('Your debts'!$F$10&lt;&gt;"",'Your debts'!$F$6&lt;&gt;"",'Your debts'!$F$10&lt;'Your debts'!$F$6),AB131,0)+IF(AND('Your debts'!$F$11&lt;&gt;"",'Your debts'!$F$6&lt;&gt;"",'Your debts'!$F$11&lt;'Your debts'!$F$6),AG131,0)+IF(AND('Your debts'!$F$12&lt;&gt;"",'Your debts'!$F$6&lt;&gt;"",'Your debts'!$F$12&lt;'Your debts'!$F$6),AL131,0)+IF(AND('Your debts'!$F$13&lt;&gt;"",'Your debts'!$F$6&lt;&gt;"",'Your debts'!$F$13&lt;'Your debts'!$F$6),AQ131,0)+IF(AND('Your debts'!$F$14&lt;&gt;"",'Your debts'!$F$6&lt;&gt;"",'Your debts'!$F$14&lt;'Your debts'!$F$6),AV131,0)+IF(AND('Your debts'!$F$15&lt;&gt;"",'Your debts'!$F$6&lt;&gt;"",'Your debts'!$F$15&lt;'Your debts'!$F$6),BA131,0)))))</f>
        <v/>
      </c>
      <c r="J131" s="33">
        <f>H131-I131</f>
        <v/>
      </c>
      <c r="K131" s="33">
        <f>IF(O130&lt;=0,0,ROUND(O130*(1+'Your debts'!$D$7/1200),2))</f>
        <v/>
      </c>
      <c r="L131" s="33">
        <f>IF(K131&lt;=0,0,MIN('Your debts'!$E$7,K131))</f>
        <v/>
      </c>
      <c r="M131" s="33">
        <f>K131-L131</f>
        <v/>
      </c>
      <c r="N131" s="33">
        <f>IF('Your debts'!$F$7="",0,MIN(M131,MAX(0,MAX(0,'Your debts'!$C$19-(G131+L131+Q131+V131+AA131+AF131+AK131+AP131+AU131+AZ131))-(IF(AND('Your debts'!$F$6&lt;&gt;"",'Your debts'!$F$7&lt;&gt;"",'Your debts'!$F$6&lt;'Your debts'!$F$7),H131,0)+IF(AND('Your debts'!$F$8&lt;&gt;"",'Your debts'!$F$7&lt;&gt;"",'Your debts'!$F$8&lt;'Your debts'!$F$7),R131,0)+IF(AND('Your debts'!$F$9&lt;&gt;"",'Your debts'!$F$7&lt;&gt;"",'Your debts'!$F$9&lt;'Your debts'!$F$7),W131,0)+IF(AND('Your debts'!$F$10&lt;&gt;"",'Your debts'!$F$7&lt;&gt;"",'Your debts'!$F$10&lt;'Your debts'!$F$7),AB131,0)+IF(AND('Your debts'!$F$11&lt;&gt;"",'Your debts'!$F$7&lt;&gt;"",'Your debts'!$F$11&lt;'Your debts'!$F$7),AG131,0)+IF(AND('Your debts'!$F$12&lt;&gt;"",'Your debts'!$F$7&lt;&gt;"",'Your debts'!$F$12&lt;'Your debts'!$F$7),AL131,0)+IF(AND('Your debts'!$F$13&lt;&gt;"",'Your debts'!$F$7&lt;&gt;"",'Your debts'!$F$13&lt;'Your debts'!$F$7),AQ131,0)+IF(AND('Your debts'!$F$14&lt;&gt;"",'Your debts'!$F$7&lt;&gt;"",'Your debts'!$F$14&lt;'Your debts'!$F$7),AV131,0)+IF(AND('Your debts'!$F$15&lt;&gt;"",'Your debts'!$F$7&lt;&gt;"",'Your debts'!$F$15&lt;'Your debts'!$F$7),BA131,0)))))</f>
        <v/>
      </c>
      <c r="O131" s="33">
        <f>M131-N131</f>
        <v/>
      </c>
      <c r="P131" s="33">
        <f>IF(T130&lt;=0,0,ROUND(T130*(1+'Your debts'!$D$8/1200),2))</f>
        <v/>
      </c>
      <c r="Q131" s="33">
        <f>IF(P131&lt;=0,0,MIN('Your debts'!$E$8,P131))</f>
        <v/>
      </c>
      <c r="R131" s="33">
        <f>P131-Q131</f>
        <v/>
      </c>
      <c r="S131" s="33">
        <f>IF('Your debts'!$F$8="",0,MIN(R131,MAX(0,MAX(0,'Your debts'!$C$19-(G131+L131+Q131+V131+AA131+AF131+AK131+AP131+AU131+AZ131))-(IF(AND('Your debts'!$F$6&lt;&gt;"",'Your debts'!$F$8&lt;&gt;"",'Your debts'!$F$6&lt;'Your debts'!$F$8),H131,0)+IF(AND('Your debts'!$F$7&lt;&gt;"",'Your debts'!$F$8&lt;&gt;"",'Your debts'!$F$7&lt;'Your debts'!$F$8),M131,0)+IF(AND('Your debts'!$F$9&lt;&gt;"",'Your debts'!$F$8&lt;&gt;"",'Your debts'!$F$9&lt;'Your debts'!$F$8),W131,0)+IF(AND('Your debts'!$F$10&lt;&gt;"",'Your debts'!$F$8&lt;&gt;"",'Your debts'!$F$10&lt;'Your debts'!$F$8),AB131,0)+IF(AND('Your debts'!$F$11&lt;&gt;"",'Your debts'!$F$8&lt;&gt;"",'Your debts'!$F$11&lt;'Your debts'!$F$8),AG131,0)+IF(AND('Your debts'!$F$12&lt;&gt;"",'Your debts'!$F$8&lt;&gt;"",'Your debts'!$F$12&lt;'Your debts'!$F$8),AL131,0)+IF(AND('Your debts'!$F$13&lt;&gt;"",'Your debts'!$F$8&lt;&gt;"",'Your debts'!$F$13&lt;'Your debts'!$F$8),AQ131,0)+IF(AND('Your debts'!$F$14&lt;&gt;"",'Your debts'!$F$8&lt;&gt;"",'Your debts'!$F$14&lt;'Your debts'!$F$8),AV131,0)+IF(AND('Your debts'!$F$15&lt;&gt;"",'Your debts'!$F$8&lt;&gt;"",'Your debts'!$F$15&lt;'Your debts'!$F$8),BA131,0)))))</f>
        <v/>
      </c>
      <c r="T131" s="33">
        <f>R131-S131</f>
        <v/>
      </c>
      <c r="U131" s="33">
        <f>IF(Y130&lt;=0,0,ROUND(Y130*(1+'Your debts'!$D$9/1200),2))</f>
        <v/>
      </c>
      <c r="V131" s="33">
        <f>IF(U131&lt;=0,0,MIN('Your debts'!$E$9,U131))</f>
        <v/>
      </c>
      <c r="W131" s="33">
        <f>U131-V131</f>
        <v/>
      </c>
      <c r="X131" s="33">
        <f>IF('Your debts'!$F$9="",0,MIN(W131,MAX(0,MAX(0,'Your debts'!$C$19-(G131+L131+Q131+V131+AA131+AF131+AK131+AP131+AU131+AZ131))-(IF(AND('Your debts'!$F$6&lt;&gt;"",'Your debts'!$F$9&lt;&gt;"",'Your debts'!$F$6&lt;'Your debts'!$F$9),H131,0)+IF(AND('Your debts'!$F$7&lt;&gt;"",'Your debts'!$F$9&lt;&gt;"",'Your debts'!$F$7&lt;'Your debts'!$F$9),M131,0)+IF(AND('Your debts'!$F$8&lt;&gt;"",'Your debts'!$F$9&lt;&gt;"",'Your debts'!$F$8&lt;'Your debts'!$F$9),R131,0)+IF(AND('Your debts'!$F$10&lt;&gt;"",'Your debts'!$F$9&lt;&gt;"",'Your debts'!$F$10&lt;'Your debts'!$F$9),AB131,0)+IF(AND('Your debts'!$F$11&lt;&gt;"",'Your debts'!$F$9&lt;&gt;"",'Your debts'!$F$11&lt;'Your debts'!$F$9),AG131,0)+IF(AND('Your debts'!$F$12&lt;&gt;"",'Your debts'!$F$9&lt;&gt;"",'Your debts'!$F$12&lt;'Your debts'!$F$9),AL131,0)+IF(AND('Your debts'!$F$13&lt;&gt;"",'Your debts'!$F$9&lt;&gt;"",'Your debts'!$F$13&lt;'Your debts'!$F$9),AQ131,0)+IF(AND('Your debts'!$F$14&lt;&gt;"",'Your debts'!$F$9&lt;&gt;"",'Your debts'!$F$14&lt;'Your debts'!$F$9),AV131,0)+IF(AND('Your debts'!$F$15&lt;&gt;"",'Your debts'!$F$9&lt;&gt;"",'Your debts'!$F$15&lt;'Your debts'!$F$9),BA131,0)))))</f>
        <v/>
      </c>
      <c r="Y131" s="33">
        <f>W131-X131</f>
        <v/>
      </c>
      <c r="Z131" s="33">
        <f>IF(AD130&lt;=0,0,ROUND(AD130*(1+'Your debts'!$D$10/1200),2))</f>
        <v/>
      </c>
      <c r="AA131" s="33">
        <f>IF(Z131&lt;=0,0,MIN('Your debts'!$E$10,Z131))</f>
        <v/>
      </c>
      <c r="AB131" s="33">
        <f>Z131-AA131</f>
        <v/>
      </c>
      <c r="AC131" s="33">
        <f>IF('Your debts'!$F$10="",0,MIN(AB131,MAX(0,MAX(0,'Your debts'!$C$19-(G131+L131+Q131+V131+AA131+AF131+AK131+AP131+AU131+AZ131))-(IF(AND('Your debts'!$F$6&lt;&gt;"",'Your debts'!$F$10&lt;&gt;"",'Your debts'!$F$6&lt;'Your debts'!$F$10),H131,0)+IF(AND('Your debts'!$F$7&lt;&gt;"",'Your debts'!$F$10&lt;&gt;"",'Your debts'!$F$7&lt;'Your debts'!$F$10),M131,0)+IF(AND('Your debts'!$F$8&lt;&gt;"",'Your debts'!$F$10&lt;&gt;"",'Your debts'!$F$8&lt;'Your debts'!$F$10),R131,0)+IF(AND('Your debts'!$F$9&lt;&gt;"",'Your debts'!$F$10&lt;&gt;"",'Your debts'!$F$9&lt;'Your debts'!$F$10),W131,0)+IF(AND('Your debts'!$F$11&lt;&gt;"",'Your debts'!$F$10&lt;&gt;"",'Your debts'!$F$11&lt;'Your debts'!$F$10),AG131,0)+IF(AND('Your debts'!$F$12&lt;&gt;"",'Your debts'!$F$10&lt;&gt;"",'Your debts'!$F$12&lt;'Your debts'!$F$10),AL131,0)+IF(AND('Your debts'!$F$13&lt;&gt;"",'Your debts'!$F$10&lt;&gt;"",'Your debts'!$F$13&lt;'Your debts'!$F$10),AQ131,0)+IF(AND('Your debts'!$F$14&lt;&gt;"",'Your debts'!$F$10&lt;&gt;"",'Your debts'!$F$14&lt;'Your debts'!$F$10),AV131,0)+IF(AND('Your debts'!$F$15&lt;&gt;"",'Your debts'!$F$10&lt;&gt;"",'Your debts'!$F$15&lt;'Your debts'!$F$10),BA131,0)))))</f>
        <v/>
      </c>
      <c r="AD131" s="33">
        <f>AB131-AC131</f>
        <v/>
      </c>
      <c r="AE131" s="33">
        <f>IF(AI130&lt;=0,0,ROUND(AI130*(1+'Your debts'!$D$11/1200),2))</f>
        <v/>
      </c>
      <c r="AF131" s="33">
        <f>IF(AE131&lt;=0,0,MIN('Your debts'!$E$11,AE131))</f>
        <v/>
      </c>
      <c r="AG131" s="33">
        <f>AE131-AF131</f>
        <v/>
      </c>
      <c r="AH131" s="33">
        <f>IF('Your debts'!$F$11="",0,MIN(AG131,MAX(0,MAX(0,'Your debts'!$C$19-(G131+L131+Q131+V131+AA131+AF131+AK131+AP131+AU131+AZ131))-(IF(AND('Your debts'!$F$6&lt;&gt;"",'Your debts'!$F$11&lt;&gt;"",'Your debts'!$F$6&lt;'Your debts'!$F$11),H131,0)+IF(AND('Your debts'!$F$7&lt;&gt;"",'Your debts'!$F$11&lt;&gt;"",'Your debts'!$F$7&lt;'Your debts'!$F$11),M131,0)+IF(AND('Your debts'!$F$8&lt;&gt;"",'Your debts'!$F$11&lt;&gt;"",'Your debts'!$F$8&lt;'Your debts'!$F$11),R131,0)+IF(AND('Your debts'!$F$9&lt;&gt;"",'Your debts'!$F$11&lt;&gt;"",'Your debts'!$F$9&lt;'Your debts'!$F$11),W131,0)+IF(AND('Your debts'!$F$10&lt;&gt;"",'Your debts'!$F$11&lt;&gt;"",'Your debts'!$F$10&lt;'Your debts'!$F$11),AB131,0)+IF(AND('Your debts'!$F$12&lt;&gt;"",'Your debts'!$F$11&lt;&gt;"",'Your debts'!$F$12&lt;'Your debts'!$F$11),AL131,0)+IF(AND('Your debts'!$F$13&lt;&gt;"",'Your debts'!$F$11&lt;&gt;"",'Your debts'!$F$13&lt;'Your debts'!$F$11),AQ131,0)+IF(AND('Your debts'!$F$14&lt;&gt;"",'Your debts'!$F$11&lt;&gt;"",'Your debts'!$F$14&lt;'Your debts'!$F$11),AV131,0)+IF(AND('Your debts'!$F$15&lt;&gt;"",'Your debts'!$F$11&lt;&gt;"",'Your debts'!$F$15&lt;'Your debts'!$F$11),BA131,0)))))</f>
        <v/>
      </c>
      <c r="AI131" s="33">
        <f>AG131-AH131</f>
        <v/>
      </c>
      <c r="AJ131" s="33">
        <f>IF(AN130&lt;=0,0,ROUND(AN130*(1+'Your debts'!$D$12/1200),2))</f>
        <v/>
      </c>
      <c r="AK131" s="33">
        <f>IF(AJ131&lt;=0,0,MIN('Your debts'!$E$12,AJ131))</f>
        <v/>
      </c>
      <c r="AL131" s="33">
        <f>AJ131-AK131</f>
        <v/>
      </c>
      <c r="AM131" s="33">
        <f>IF('Your debts'!$F$12="",0,MIN(AL131,MAX(0,MAX(0,'Your debts'!$C$19-(G131+L131+Q131+V131+AA131+AF131+AK131+AP131+AU131+AZ131))-(IF(AND('Your debts'!$F$6&lt;&gt;"",'Your debts'!$F$12&lt;&gt;"",'Your debts'!$F$6&lt;'Your debts'!$F$12),H131,0)+IF(AND('Your debts'!$F$7&lt;&gt;"",'Your debts'!$F$12&lt;&gt;"",'Your debts'!$F$7&lt;'Your debts'!$F$12),M131,0)+IF(AND('Your debts'!$F$8&lt;&gt;"",'Your debts'!$F$12&lt;&gt;"",'Your debts'!$F$8&lt;'Your debts'!$F$12),R131,0)+IF(AND('Your debts'!$F$9&lt;&gt;"",'Your debts'!$F$12&lt;&gt;"",'Your debts'!$F$9&lt;'Your debts'!$F$12),W131,0)+IF(AND('Your debts'!$F$10&lt;&gt;"",'Your debts'!$F$12&lt;&gt;"",'Your debts'!$F$10&lt;'Your debts'!$F$12),AB131,0)+IF(AND('Your debts'!$F$11&lt;&gt;"",'Your debts'!$F$12&lt;&gt;"",'Your debts'!$F$11&lt;'Your debts'!$F$12),AG131,0)+IF(AND('Your debts'!$F$13&lt;&gt;"",'Your debts'!$F$12&lt;&gt;"",'Your debts'!$F$13&lt;'Your debts'!$F$12),AQ131,0)+IF(AND('Your debts'!$F$14&lt;&gt;"",'Your debts'!$F$12&lt;&gt;"",'Your debts'!$F$14&lt;'Your debts'!$F$12),AV131,0)+IF(AND('Your debts'!$F$15&lt;&gt;"",'Your debts'!$F$12&lt;&gt;"",'Your debts'!$F$15&lt;'Your debts'!$F$12),BA131,0)))))</f>
        <v/>
      </c>
      <c r="AN131" s="33">
        <f>AL131-AM131</f>
        <v/>
      </c>
      <c r="AO131" s="33">
        <f>IF(AS130&lt;=0,0,ROUND(AS130*(1+'Your debts'!$D$13/1200),2))</f>
        <v/>
      </c>
      <c r="AP131" s="33">
        <f>IF(AO131&lt;=0,0,MIN('Your debts'!$E$13,AO131))</f>
        <v/>
      </c>
      <c r="AQ131" s="33">
        <f>AO131-AP131</f>
        <v/>
      </c>
      <c r="AR131" s="33">
        <f>IF('Your debts'!$F$13="",0,MIN(AQ131,MAX(0,MAX(0,'Your debts'!$C$19-(G131+L131+Q131+V131+AA131+AF131+AK131+AP131+AU131+AZ131))-(IF(AND('Your debts'!$F$6&lt;&gt;"",'Your debts'!$F$13&lt;&gt;"",'Your debts'!$F$6&lt;'Your debts'!$F$13),H131,0)+IF(AND('Your debts'!$F$7&lt;&gt;"",'Your debts'!$F$13&lt;&gt;"",'Your debts'!$F$7&lt;'Your debts'!$F$13),M131,0)+IF(AND('Your debts'!$F$8&lt;&gt;"",'Your debts'!$F$13&lt;&gt;"",'Your debts'!$F$8&lt;'Your debts'!$F$13),R131,0)+IF(AND('Your debts'!$F$9&lt;&gt;"",'Your debts'!$F$13&lt;&gt;"",'Your debts'!$F$9&lt;'Your debts'!$F$13),W131,0)+IF(AND('Your debts'!$F$10&lt;&gt;"",'Your debts'!$F$13&lt;&gt;"",'Your debts'!$F$10&lt;'Your debts'!$F$13),AB131,0)+IF(AND('Your debts'!$F$11&lt;&gt;"",'Your debts'!$F$13&lt;&gt;"",'Your debts'!$F$11&lt;'Your debts'!$F$13),AG131,0)+IF(AND('Your debts'!$F$12&lt;&gt;"",'Your debts'!$F$13&lt;&gt;"",'Your debts'!$F$12&lt;'Your debts'!$F$13),AL131,0)+IF(AND('Your debts'!$F$14&lt;&gt;"",'Your debts'!$F$13&lt;&gt;"",'Your debts'!$F$14&lt;'Your debts'!$F$13),AV131,0)+IF(AND('Your debts'!$F$15&lt;&gt;"",'Your debts'!$F$13&lt;&gt;"",'Your debts'!$F$15&lt;'Your debts'!$F$13),BA131,0)))))</f>
        <v/>
      </c>
      <c r="AS131" s="33">
        <f>AQ131-AR131</f>
        <v/>
      </c>
      <c r="AT131" s="33">
        <f>IF(AX130&lt;=0,0,ROUND(AX130*(1+'Your debts'!$D$14/1200),2))</f>
        <v/>
      </c>
      <c r="AU131" s="33">
        <f>IF(AT131&lt;=0,0,MIN('Your debts'!$E$14,AT131))</f>
        <v/>
      </c>
      <c r="AV131" s="33">
        <f>AT131-AU131</f>
        <v/>
      </c>
      <c r="AW131" s="33">
        <f>IF('Your debts'!$F$14="",0,MIN(AV131,MAX(0,MAX(0,'Your debts'!$C$19-(G131+L131+Q131+V131+AA131+AF131+AK131+AP131+AU131+AZ131))-(IF(AND('Your debts'!$F$6&lt;&gt;"",'Your debts'!$F$14&lt;&gt;"",'Your debts'!$F$6&lt;'Your debts'!$F$14),H131,0)+IF(AND('Your debts'!$F$7&lt;&gt;"",'Your debts'!$F$14&lt;&gt;"",'Your debts'!$F$7&lt;'Your debts'!$F$14),M131,0)+IF(AND('Your debts'!$F$8&lt;&gt;"",'Your debts'!$F$14&lt;&gt;"",'Your debts'!$F$8&lt;'Your debts'!$F$14),R131,0)+IF(AND('Your debts'!$F$9&lt;&gt;"",'Your debts'!$F$14&lt;&gt;"",'Your debts'!$F$9&lt;'Your debts'!$F$14),W131,0)+IF(AND('Your debts'!$F$10&lt;&gt;"",'Your debts'!$F$14&lt;&gt;"",'Your debts'!$F$10&lt;'Your debts'!$F$14),AB131,0)+IF(AND('Your debts'!$F$11&lt;&gt;"",'Your debts'!$F$14&lt;&gt;"",'Your debts'!$F$11&lt;'Your debts'!$F$14),AG131,0)+IF(AND('Your debts'!$F$12&lt;&gt;"",'Your debts'!$F$14&lt;&gt;"",'Your debts'!$F$12&lt;'Your debts'!$F$14),AL131,0)+IF(AND('Your debts'!$F$13&lt;&gt;"",'Your debts'!$F$14&lt;&gt;"",'Your debts'!$F$13&lt;'Your debts'!$F$14),AQ131,0)+IF(AND('Your debts'!$F$15&lt;&gt;"",'Your debts'!$F$14&lt;&gt;"",'Your debts'!$F$15&lt;'Your debts'!$F$14),BA131,0)))))</f>
        <v/>
      </c>
      <c r="AX131" s="33">
        <f>AV131-AW131</f>
        <v/>
      </c>
      <c r="AY131" s="33">
        <f>IF(BC130&lt;=0,0,ROUND(BC130*(1+'Your debts'!$D$15/1200),2))</f>
        <v/>
      </c>
      <c r="AZ131" s="33">
        <f>IF(AY131&lt;=0,0,MIN('Your debts'!$E$15,AY131))</f>
        <v/>
      </c>
      <c r="BA131" s="33">
        <f>AY131-AZ131</f>
        <v/>
      </c>
      <c r="BB131" s="33">
        <f>IF('Your debts'!$F$15="",0,MIN(BA131,MAX(0,MAX(0,'Your debts'!$C$19-(G131+L131+Q131+V131+AA131+AF131+AK131+AP131+AU131+AZ131))-(IF(AND('Your debts'!$F$6&lt;&gt;"",'Your debts'!$F$15&lt;&gt;"",'Your debts'!$F$6&lt;'Your debts'!$F$15),H131,0)+IF(AND('Your debts'!$F$7&lt;&gt;"",'Your debts'!$F$15&lt;&gt;"",'Your debts'!$F$7&lt;'Your debts'!$F$15),M131,0)+IF(AND('Your debts'!$F$8&lt;&gt;"",'Your debts'!$F$15&lt;&gt;"",'Your debts'!$F$8&lt;'Your debts'!$F$15),R131,0)+IF(AND('Your debts'!$F$9&lt;&gt;"",'Your debts'!$F$15&lt;&gt;"",'Your debts'!$F$9&lt;'Your debts'!$F$15),W131,0)+IF(AND('Your debts'!$F$10&lt;&gt;"",'Your debts'!$F$15&lt;&gt;"",'Your debts'!$F$10&lt;'Your debts'!$F$15),AB131,0)+IF(AND('Your debts'!$F$11&lt;&gt;"",'Your debts'!$F$15&lt;&gt;"",'Your debts'!$F$11&lt;'Your debts'!$F$15),AG131,0)+IF(AND('Your debts'!$F$12&lt;&gt;"",'Your debts'!$F$15&lt;&gt;"",'Your debts'!$F$12&lt;'Your debts'!$F$15),AL131,0)+IF(AND('Your debts'!$F$13&lt;&gt;"",'Your debts'!$F$15&lt;&gt;"",'Your debts'!$F$13&lt;'Your debts'!$F$15),AQ131,0)+IF(AND('Your debts'!$F$14&lt;&gt;"",'Your debts'!$F$15&lt;&gt;"",'Your debts'!$F$14&lt;'Your debts'!$F$15),AV131,0)))))</f>
        <v/>
      </c>
      <c r="BC131" s="33">
        <f>BA131-BB131</f>
        <v/>
      </c>
    </row>
    <row r="132">
      <c r="A132" s="30" t="n">
        <v>117</v>
      </c>
      <c r="B132" s="31">
        <f>EDATE($B$15,117)</f>
        <v/>
      </c>
      <c r="C132" s="32">
        <f>IF(J131&lt;=0,0,F132-J131)+IF(O131&lt;=0,0,K132-O131)+IF(T131&lt;=0,0,P132-T131)+IF(Y131&lt;=0,0,U132-Y131)+IF(AD131&lt;=0,0,Z132-AD131)+IF(AI131&lt;=0,0,AE132-AI131)+IF(AN131&lt;=0,0,AJ132-AN131)+IF(AS131&lt;=0,0,AO132-AS131)+IF(AX131&lt;=0,0,AT132-AX131)+IF(BC131&lt;=0,0,AY132-BC131)</f>
        <v/>
      </c>
      <c r="D132" s="32">
        <f>G132+I132+L132+N132+Q132+S132+V132+X132+AA132+AC132+AF132+AH132+AK132+AM132+AP132+AR132+AU132+AW132+AZ132+BB132</f>
        <v/>
      </c>
      <c r="E132" s="32">
        <f>J132+O132+T132+Y132+AD132+AI132+AN132+AS132+AX132+BC132</f>
        <v/>
      </c>
      <c r="F132" s="33">
        <f>IF(J131&lt;=0,0,ROUND(J131*(1+'Your debts'!$D$6/1200),2))</f>
        <v/>
      </c>
      <c r="G132" s="33">
        <f>IF(F132&lt;=0,0,MIN('Your debts'!$E$6,F132))</f>
        <v/>
      </c>
      <c r="H132" s="33">
        <f>F132-G132</f>
        <v/>
      </c>
      <c r="I132" s="33">
        <f>IF('Your debts'!$F$6="",0,MIN(H132,MAX(0,MAX(0,'Your debts'!$C$19-(G132+L132+Q132+V132+AA132+AF132+AK132+AP132+AU132+AZ132))-(IF(AND('Your debts'!$F$7&lt;&gt;"",'Your debts'!$F$6&lt;&gt;"",'Your debts'!$F$7&lt;'Your debts'!$F$6),M132,0)+IF(AND('Your debts'!$F$8&lt;&gt;"",'Your debts'!$F$6&lt;&gt;"",'Your debts'!$F$8&lt;'Your debts'!$F$6),R132,0)+IF(AND('Your debts'!$F$9&lt;&gt;"",'Your debts'!$F$6&lt;&gt;"",'Your debts'!$F$9&lt;'Your debts'!$F$6),W132,0)+IF(AND('Your debts'!$F$10&lt;&gt;"",'Your debts'!$F$6&lt;&gt;"",'Your debts'!$F$10&lt;'Your debts'!$F$6),AB132,0)+IF(AND('Your debts'!$F$11&lt;&gt;"",'Your debts'!$F$6&lt;&gt;"",'Your debts'!$F$11&lt;'Your debts'!$F$6),AG132,0)+IF(AND('Your debts'!$F$12&lt;&gt;"",'Your debts'!$F$6&lt;&gt;"",'Your debts'!$F$12&lt;'Your debts'!$F$6),AL132,0)+IF(AND('Your debts'!$F$13&lt;&gt;"",'Your debts'!$F$6&lt;&gt;"",'Your debts'!$F$13&lt;'Your debts'!$F$6),AQ132,0)+IF(AND('Your debts'!$F$14&lt;&gt;"",'Your debts'!$F$6&lt;&gt;"",'Your debts'!$F$14&lt;'Your debts'!$F$6),AV132,0)+IF(AND('Your debts'!$F$15&lt;&gt;"",'Your debts'!$F$6&lt;&gt;"",'Your debts'!$F$15&lt;'Your debts'!$F$6),BA132,0)))))</f>
        <v/>
      </c>
      <c r="J132" s="33">
        <f>H132-I132</f>
        <v/>
      </c>
      <c r="K132" s="33">
        <f>IF(O131&lt;=0,0,ROUND(O131*(1+'Your debts'!$D$7/1200),2))</f>
        <v/>
      </c>
      <c r="L132" s="33">
        <f>IF(K132&lt;=0,0,MIN('Your debts'!$E$7,K132))</f>
        <v/>
      </c>
      <c r="M132" s="33">
        <f>K132-L132</f>
        <v/>
      </c>
      <c r="N132" s="33">
        <f>IF('Your debts'!$F$7="",0,MIN(M132,MAX(0,MAX(0,'Your debts'!$C$19-(G132+L132+Q132+V132+AA132+AF132+AK132+AP132+AU132+AZ132))-(IF(AND('Your debts'!$F$6&lt;&gt;"",'Your debts'!$F$7&lt;&gt;"",'Your debts'!$F$6&lt;'Your debts'!$F$7),H132,0)+IF(AND('Your debts'!$F$8&lt;&gt;"",'Your debts'!$F$7&lt;&gt;"",'Your debts'!$F$8&lt;'Your debts'!$F$7),R132,0)+IF(AND('Your debts'!$F$9&lt;&gt;"",'Your debts'!$F$7&lt;&gt;"",'Your debts'!$F$9&lt;'Your debts'!$F$7),W132,0)+IF(AND('Your debts'!$F$10&lt;&gt;"",'Your debts'!$F$7&lt;&gt;"",'Your debts'!$F$10&lt;'Your debts'!$F$7),AB132,0)+IF(AND('Your debts'!$F$11&lt;&gt;"",'Your debts'!$F$7&lt;&gt;"",'Your debts'!$F$11&lt;'Your debts'!$F$7),AG132,0)+IF(AND('Your debts'!$F$12&lt;&gt;"",'Your debts'!$F$7&lt;&gt;"",'Your debts'!$F$12&lt;'Your debts'!$F$7),AL132,0)+IF(AND('Your debts'!$F$13&lt;&gt;"",'Your debts'!$F$7&lt;&gt;"",'Your debts'!$F$13&lt;'Your debts'!$F$7),AQ132,0)+IF(AND('Your debts'!$F$14&lt;&gt;"",'Your debts'!$F$7&lt;&gt;"",'Your debts'!$F$14&lt;'Your debts'!$F$7),AV132,0)+IF(AND('Your debts'!$F$15&lt;&gt;"",'Your debts'!$F$7&lt;&gt;"",'Your debts'!$F$15&lt;'Your debts'!$F$7),BA132,0)))))</f>
        <v/>
      </c>
      <c r="O132" s="33">
        <f>M132-N132</f>
        <v/>
      </c>
      <c r="P132" s="33">
        <f>IF(T131&lt;=0,0,ROUND(T131*(1+'Your debts'!$D$8/1200),2))</f>
        <v/>
      </c>
      <c r="Q132" s="33">
        <f>IF(P132&lt;=0,0,MIN('Your debts'!$E$8,P132))</f>
        <v/>
      </c>
      <c r="R132" s="33">
        <f>P132-Q132</f>
        <v/>
      </c>
      <c r="S132" s="33">
        <f>IF('Your debts'!$F$8="",0,MIN(R132,MAX(0,MAX(0,'Your debts'!$C$19-(G132+L132+Q132+V132+AA132+AF132+AK132+AP132+AU132+AZ132))-(IF(AND('Your debts'!$F$6&lt;&gt;"",'Your debts'!$F$8&lt;&gt;"",'Your debts'!$F$6&lt;'Your debts'!$F$8),H132,0)+IF(AND('Your debts'!$F$7&lt;&gt;"",'Your debts'!$F$8&lt;&gt;"",'Your debts'!$F$7&lt;'Your debts'!$F$8),M132,0)+IF(AND('Your debts'!$F$9&lt;&gt;"",'Your debts'!$F$8&lt;&gt;"",'Your debts'!$F$9&lt;'Your debts'!$F$8),W132,0)+IF(AND('Your debts'!$F$10&lt;&gt;"",'Your debts'!$F$8&lt;&gt;"",'Your debts'!$F$10&lt;'Your debts'!$F$8),AB132,0)+IF(AND('Your debts'!$F$11&lt;&gt;"",'Your debts'!$F$8&lt;&gt;"",'Your debts'!$F$11&lt;'Your debts'!$F$8),AG132,0)+IF(AND('Your debts'!$F$12&lt;&gt;"",'Your debts'!$F$8&lt;&gt;"",'Your debts'!$F$12&lt;'Your debts'!$F$8),AL132,0)+IF(AND('Your debts'!$F$13&lt;&gt;"",'Your debts'!$F$8&lt;&gt;"",'Your debts'!$F$13&lt;'Your debts'!$F$8),AQ132,0)+IF(AND('Your debts'!$F$14&lt;&gt;"",'Your debts'!$F$8&lt;&gt;"",'Your debts'!$F$14&lt;'Your debts'!$F$8),AV132,0)+IF(AND('Your debts'!$F$15&lt;&gt;"",'Your debts'!$F$8&lt;&gt;"",'Your debts'!$F$15&lt;'Your debts'!$F$8),BA132,0)))))</f>
        <v/>
      </c>
      <c r="T132" s="33">
        <f>R132-S132</f>
        <v/>
      </c>
      <c r="U132" s="33">
        <f>IF(Y131&lt;=0,0,ROUND(Y131*(1+'Your debts'!$D$9/1200),2))</f>
        <v/>
      </c>
      <c r="V132" s="33">
        <f>IF(U132&lt;=0,0,MIN('Your debts'!$E$9,U132))</f>
        <v/>
      </c>
      <c r="W132" s="33">
        <f>U132-V132</f>
        <v/>
      </c>
      <c r="X132" s="33">
        <f>IF('Your debts'!$F$9="",0,MIN(W132,MAX(0,MAX(0,'Your debts'!$C$19-(G132+L132+Q132+V132+AA132+AF132+AK132+AP132+AU132+AZ132))-(IF(AND('Your debts'!$F$6&lt;&gt;"",'Your debts'!$F$9&lt;&gt;"",'Your debts'!$F$6&lt;'Your debts'!$F$9),H132,0)+IF(AND('Your debts'!$F$7&lt;&gt;"",'Your debts'!$F$9&lt;&gt;"",'Your debts'!$F$7&lt;'Your debts'!$F$9),M132,0)+IF(AND('Your debts'!$F$8&lt;&gt;"",'Your debts'!$F$9&lt;&gt;"",'Your debts'!$F$8&lt;'Your debts'!$F$9),R132,0)+IF(AND('Your debts'!$F$10&lt;&gt;"",'Your debts'!$F$9&lt;&gt;"",'Your debts'!$F$10&lt;'Your debts'!$F$9),AB132,0)+IF(AND('Your debts'!$F$11&lt;&gt;"",'Your debts'!$F$9&lt;&gt;"",'Your debts'!$F$11&lt;'Your debts'!$F$9),AG132,0)+IF(AND('Your debts'!$F$12&lt;&gt;"",'Your debts'!$F$9&lt;&gt;"",'Your debts'!$F$12&lt;'Your debts'!$F$9),AL132,0)+IF(AND('Your debts'!$F$13&lt;&gt;"",'Your debts'!$F$9&lt;&gt;"",'Your debts'!$F$13&lt;'Your debts'!$F$9),AQ132,0)+IF(AND('Your debts'!$F$14&lt;&gt;"",'Your debts'!$F$9&lt;&gt;"",'Your debts'!$F$14&lt;'Your debts'!$F$9),AV132,0)+IF(AND('Your debts'!$F$15&lt;&gt;"",'Your debts'!$F$9&lt;&gt;"",'Your debts'!$F$15&lt;'Your debts'!$F$9),BA132,0)))))</f>
        <v/>
      </c>
      <c r="Y132" s="33">
        <f>W132-X132</f>
        <v/>
      </c>
      <c r="Z132" s="33">
        <f>IF(AD131&lt;=0,0,ROUND(AD131*(1+'Your debts'!$D$10/1200),2))</f>
        <v/>
      </c>
      <c r="AA132" s="33">
        <f>IF(Z132&lt;=0,0,MIN('Your debts'!$E$10,Z132))</f>
        <v/>
      </c>
      <c r="AB132" s="33">
        <f>Z132-AA132</f>
        <v/>
      </c>
      <c r="AC132" s="33">
        <f>IF('Your debts'!$F$10="",0,MIN(AB132,MAX(0,MAX(0,'Your debts'!$C$19-(G132+L132+Q132+V132+AA132+AF132+AK132+AP132+AU132+AZ132))-(IF(AND('Your debts'!$F$6&lt;&gt;"",'Your debts'!$F$10&lt;&gt;"",'Your debts'!$F$6&lt;'Your debts'!$F$10),H132,0)+IF(AND('Your debts'!$F$7&lt;&gt;"",'Your debts'!$F$10&lt;&gt;"",'Your debts'!$F$7&lt;'Your debts'!$F$10),M132,0)+IF(AND('Your debts'!$F$8&lt;&gt;"",'Your debts'!$F$10&lt;&gt;"",'Your debts'!$F$8&lt;'Your debts'!$F$10),R132,0)+IF(AND('Your debts'!$F$9&lt;&gt;"",'Your debts'!$F$10&lt;&gt;"",'Your debts'!$F$9&lt;'Your debts'!$F$10),W132,0)+IF(AND('Your debts'!$F$11&lt;&gt;"",'Your debts'!$F$10&lt;&gt;"",'Your debts'!$F$11&lt;'Your debts'!$F$10),AG132,0)+IF(AND('Your debts'!$F$12&lt;&gt;"",'Your debts'!$F$10&lt;&gt;"",'Your debts'!$F$12&lt;'Your debts'!$F$10),AL132,0)+IF(AND('Your debts'!$F$13&lt;&gt;"",'Your debts'!$F$10&lt;&gt;"",'Your debts'!$F$13&lt;'Your debts'!$F$10),AQ132,0)+IF(AND('Your debts'!$F$14&lt;&gt;"",'Your debts'!$F$10&lt;&gt;"",'Your debts'!$F$14&lt;'Your debts'!$F$10),AV132,0)+IF(AND('Your debts'!$F$15&lt;&gt;"",'Your debts'!$F$10&lt;&gt;"",'Your debts'!$F$15&lt;'Your debts'!$F$10),BA132,0)))))</f>
        <v/>
      </c>
      <c r="AD132" s="33">
        <f>AB132-AC132</f>
        <v/>
      </c>
      <c r="AE132" s="33">
        <f>IF(AI131&lt;=0,0,ROUND(AI131*(1+'Your debts'!$D$11/1200),2))</f>
        <v/>
      </c>
      <c r="AF132" s="33">
        <f>IF(AE132&lt;=0,0,MIN('Your debts'!$E$11,AE132))</f>
        <v/>
      </c>
      <c r="AG132" s="33">
        <f>AE132-AF132</f>
        <v/>
      </c>
      <c r="AH132" s="33">
        <f>IF('Your debts'!$F$11="",0,MIN(AG132,MAX(0,MAX(0,'Your debts'!$C$19-(G132+L132+Q132+V132+AA132+AF132+AK132+AP132+AU132+AZ132))-(IF(AND('Your debts'!$F$6&lt;&gt;"",'Your debts'!$F$11&lt;&gt;"",'Your debts'!$F$6&lt;'Your debts'!$F$11),H132,0)+IF(AND('Your debts'!$F$7&lt;&gt;"",'Your debts'!$F$11&lt;&gt;"",'Your debts'!$F$7&lt;'Your debts'!$F$11),M132,0)+IF(AND('Your debts'!$F$8&lt;&gt;"",'Your debts'!$F$11&lt;&gt;"",'Your debts'!$F$8&lt;'Your debts'!$F$11),R132,0)+IF(AND('Your debts'!$F$9&lt;&gt;"",'Your debts'!$F$11&lt;&gt;"",'Your debts'!$F$9&lt;'Your debts'!$F$11),W132,0)+IF(AND('Your debts'!$F$10&lt;&gt;"",'Your debts'!$F$11&lt;&gt;"",'Your debts'!$F$10&lt;'Your debts'!$F$11),AB132,0)+IF(AND('Your debts'!$F$12&lt;&gt;"",'Your debts'!$F$11&lt;&gt;"",'Your debts'!$F$12&lt;'Your debts'!$F$11),AL132,0)+IF(AND('Your debts'!$F$13&lt;&gt;"",'Your debts'!$F$11&lt;&gt;"",'Your debts'!$F$13&lt;'Your debts'!$F$11),AQ132,0)+IF(AND('Your debts'!$F$14&lt;&gt;"",'Your debts'!$F$11&lt;&gt;"",'Your debts'!$F$14&lt;'Your debts'!$F$11),AV132,0)+IF(AND('Your debts'!$F$15&lt;&gt;"",'Your debts'!$F$11&lt;&gt;"",'Your debts'!$F$15&lt;'Your debts'!$F$11),BA132,0)))))</f>
        <v/>
      </c>
      <c r="AI132" s="33">
        <f>AG132-AH132</f>
        <v/>
      </c>
      <c r="AJ132" s="33">
        <f>IF(AN131&lt;=0,0,ROUND(AN131*(1+'Your debts'!$D$12/1200),2))</f>
        <v/>
      </c>
      <c r="AK132" s="33">
        <f>IF(AJ132&lt;=0,0,MIN('Your debts'!$E$12,AJ132))</f>
        <v/>
      </c>
      <c r="AL132" s="33">
        <f>AJ132-AK132</f>
        <v/>
      </c>
      <c r="AM132" s="33">
        <f>IF('Your debts'!$F$12="",0,MIN(AL132,MAX(0,MAX(0,'Your debts'!$C$19-(G132+L132+Q132+V132+AA132+AF132+AK132+AP132+AU132+AZ132))-(IF(AND('Your debts'!$F$6&lt;&gt;"",'Your debts'!$F$12&lt;&gt;"",'Your debts'!$F$6&lt;'Your debts'!$F$12),H132,0)+IF(AND('Your debts'!$F$7&lt;&gt;"",'Your debts'!$F$12&lt;&gt;"",'Your debts'!$F$7&lt;'Your debts'!$F$12),M132,0)+IF(AND('Your debts'!$F$8&lt;&gt;"",'Your debts'!$F$12&lt;&gt;"",'Your debts'!$F$8&lt;'Your debts'!$F$12),R132,0)+IF(AND('Your debts'!$F$9&lt;&gt;"",'Your debts'!$F$12&lt;&gt;"",'Your debts'!$F$9&lt;'Your debts'!$F$12),W132,0)+IF(AND('Your debts'!$F$10&lt;&gt;"",'Your debts'!$F$12&lt;&gt;"",'Your debts'!$F$10&lt;'Your debts'!$F$12),AB132,0)+IF(AND('Your debts'!$F$11&lt;&gt;"",'Your debts'!$F$12&lt;&gt;"",'Your debts'!$F$11&lt;'Your debts'!$F$12),AG132,0)+IF(AND('Your debts'!$F$13&lt;&gt;"",'Your debts'!$F$12&lt;&gt;"",'Your debts'!$F$13&lt;'Your debts'!$F$12),AQ132,0)+IF(AND('Your debts'!$F$14&lt;&gt;"",'Your debts'!$F$12&lt;&gt;"",'Your debts'!$F$14&lt;'Your debts'!$F$12),AV132,0)+IF(AND('Your debts'!$F$15&lt;&gt;"",'Your debts'!$F$12&lt;&gt;"",'Your debts'!$F$15&lt;'Your debts'!$F$12),BA132,0)))))</f>
        <v/>
      </c>
      <c r="AN132" s="33">
        <f>AL132-AM132</f>
        <v/>
      </c>
      <c r="AO132" s="33">
        <f>IF(AS131&lt;=0,0,ROUND(AS131*(1+'Your debts'!$D$13/1200),2))</f>
        <v/>
      </c>
      <c r="AP132" s="33">
        <f>IF(AO132&lt;=0,0,MIN('Your debts'!$E$13,AO132))</f>
        <v/>
      </c>
      <c r="AQ132" s="33">
        <f>AO132-AP132</f>
        <v/>
      </c>
      <c r="AR132" s="33">
        <f>IF('Your debts'!$F$13="",0,MIN(AQ132,MAX(0,MAX(0,'Your debts'!$C$19-(G132+L132+Q132+V132+AA132+AF132+AK132+AP132+AU132+AZ132))-(IF(AND('Your debts'!$F$6&lt;&gt;"",'Your debts'!$F$13&lt;&gt;"",'Your debts'!$F$6&lt;'Your debts'!$F$13),H132,0)+IF(AND('Your debts'!$F$7&lt;&gt;"",'Your debts'!$F$13&lt;&gt;"",'Your debts'!$F$7&lt;'Your debts'!$F$13),M132,0)+IF(AND('Your debts'!$F$8&lt;&gt;"",'Your debts'!$F$13&lt;&gt;"",'Your debts'!$F$8&lt;'Your debts'!$F$13),R132,0)+IF(AND('Your debts'!$F$9&lt;&gt;"",'Your debts'!$F$13&lt;&gt;"",'Your debts'!$F$9&lt;'Your debts'!$F$13),W132,0)+IF(AND('Your debts'!$F$10&lt;&gt;"",'Your debts'!$F$13&lt;&gt;"",'Your debts'!$F$10&lt;'Your debts'!$F$13),AB132,0)+IF(AND('Your debts'!$F$11&lt;&gt;"",'Your debts'!$F$13&lt;&gt;"",'Your debts'!$F$11&lt;'Your debts'!$F$13),AG132,0)+IF(AND('Your debts'!$F$12&lt;&gt;"",'Your debts'!$F$13&lt;&gt;"",'Your debts'!$F$12&lt;'Your debts'!$F$13),AL132,0)+IF(AND('Your debts'!$F$14&lt;&gt;"",'Your debts'!$F$13&lt;&gt;"",'Your debts'!$F$14&lt;'Your debts'!$F$13),AV132,0)+IF(AND('Your debts'!$F$15&lt;&gt;"",'Your debts'!$F$13&lt;&gt;"",'Your debts'!$F$15&lt;'Your debts'!$F$13),BA132,0)))))</f>
        <v/>
      </c>
      <c r="AS132" s="33">
        <f>AQ132-AR132</f>
        <v/>
      </c>
      <c r="AT132" s="33">
        <f>IF(AX131&lt;=0,0,ROUND(AX131*(1+'Your debts'!$D$14/1200),2))</f>
        <v/>
      </c>
      <c r="AU132" s="33">
        <f>IF(AT132&lt;=0,0,MIN('Your debts'!$E$14,AT132))</f>
        <v/>
      </c>
      <c r="AV132" s="33">
        <f>AT132-AU132</f>
        <v/>
      </c>
      <c r="AW132" s="33">
        <f>IF('Your debts'!$F$14="",0,MIN(AV132,MAX(0,MAX(0,'Your debts'!$C$19-(G132+L132+Q132+V132+AA132+AF132+AK132+AP132+AU132+AZ132))-(IF(AND('Your debts'!$F$6&lt;&gt;"",'Your debts'!$F$14&lt;&gt;"",'Your debts'!$F$6&lt;'Your debts'!$F$14),H132,0)+IF(AND('Your debts'!$F$7&lt;&gt;"",'Your debts'!$F$14&lt;&gt;"",'Your debts'!$F$7&lt;'Your debts'!$F$14),M132,0)+IF(AND('Your debts'!$F$8&lt;&gt;"",'Your debts'!$F$14&lt;&gt;"",'Your debts'!$F$8&lt;'Your debts'!$F$14),R132,0)+IF(AND('Your debts'!$F$9&lt;&gt;"",'Your debts'!$F$14&lt;&gt;"",'Your debts'!$F$9&lt;'Your debts'!$F$14),W132,0)+IF(AND('Your debts'!$F$10&lt;&gt;"",'Your debts'!$F$14&lt;&gt;"",'Your debts'!$F$10&lt;'Your debts'!$F$14),AB132,0)+IF(AND('Your debts'!$F$11&lt;&gt;"",'Your debts'!$F$14&lt;&gt;"",'Your debts'!$F$11&lt;'Your debts'!$F$14),AG132,0)+IF(AND('Your debts'!$F$12&lt;&gt;"",'Your debts'!$F$14&lt;&gt;"",'Your debts'!$F$12&lt;'Your debts'!$F$14),AL132,0)+IF(AND('Your debts'!$F$13&lt;&gt;"",'Your debts'!$F$14&lt;&gt;"",'Your debts'!$F$13&lt;'Your debts'!$F$14),AQ132,0)+IF(AND('Your debts'!$F$15&lt;&gt;"",'Your debts'!$F$14&lt;&gt;"",'Your debts'!$F$15&lt;'Your debts'!$F$14),BA132,0)))))</f>
        <v/>
      </c>
      <c r="AX132" s="33">
        <f>AV132-AW132</f>
        <v/>
      </c>
      <c r="AY132" s="33">
        <f>IF(BC131&lt;=0,0,ROUND(BC131*(1+'Your debts'!$D$15/1200),2))</f>
        <v/>
      </c>
      <c r="AZ132" s="33">
        <f>IF(AY132&lt;=0,0,MIN('Your debts'!$E$15,AY132))</f>
        <v/>
      </c>
      <c r="BA132" s="33">
        <f>AY132-AZ132</f>
        <v/>
      </c>
      <c r="BB132" s="33">
        <f>IF('Your debts'!$F$15="",0,MIN(BA132,MAX(0,MAX(0,'Your debts'!$C$19-(G132+L132+Q132+V132+AA132+AF132+AK132+AP132+AU132+AZ132))-(IF(AND('Your debts'!$F$6&lt;&gt;"",'Your debts'!$F$15&lt;&gt;"",'Your debts'!$F$6&lt;'Your debts'!$F$15),H132,0)+IF(AND('Your debts'!$F$7&lt;&gt;"",'Your debts'!$F$15&lt;&gt;"",'Your debts'!$F$7&lt;'Your debts'!$F$15),M132,0)+IF(AND('Your debts'!$F$8&lt;&gt;"",'Your debts'!$F$15&lt;&gt;"",'Your debts'!$F$8&lt;'Your debts'!$F$15),R132,0)+IF(AND('Your debts'!$F$9&lt;&gt;"",'Your debts'!$F$15&lt;&gt;"",'Your debts'!$F$9&lt;'Your debts'!$F$15),W132,0)+IF(AND('Your debts'!$F$10&lt;&gt;"",'Your debts'!$F$15&lt;&gt;"",'Your debts'!$F$10&lt;'Your debts'!$F$15),AB132,0)+IF(AND('Your debts'!$F$11&lt;&gt;"",'Your debts'!$F$15&lt;&gt;"",'Your debts'!$F$11&lt;'Your debts'!$F$15),AG132,0)+IF(AND('Your debts'!$F$12&lt;&gt;"",'Your debts'!$F$15&lt;&gt;"",'Your debts'!$F$12&lt;'Your debts'!$F$15),AL132,0)+IF(AND('Your debts'!$F$13&lt;&gt;"",'Your debts'!$F$15&lt;&gt;"",'Your debts'!$F$13&lt;'Your debts'!$F$15),AQ132,0)+IF(AND('Your debts'!$F$14&lt;&gt;"",'Your debts'!$F$15&lt;&gt;"",'Your debts'!$F$14&lt;'Your debts'!$F$15),AV132,0)))))</f>
        <v/>
      </c>
      <c r="BC132" s="33">
        <f>BA132-BB132</f>
        <v/>
      </c>
    </row>
    <row r="133">
      <c r="A133" s="30" t="n">
        <v>118</v>
      </c>
      <c r="B133" s="31">
        <f>EDATE($B$15,118)</f>
        <v/>
      </c>
      <c r="C133" s="32">
        <f>IF(J132&lt;=0,0,F133-J132)+IF(O132&lt;=0,0,K133-O132)+IF(T132&lt;=0,0,P133-T132)+IF(Y132&lt;=0,0,U133-Y132)+IF(AD132&lt;=0,0,Z133-AD132)+IF(AI132&lt;=0,0,AE133-AI132)+IF(AN132&lt;=0,0,AJ133-AN132)+IF(AS132&lt;=0,0,AO133-AS132)+IF(AX132&lt;=0,0,AT133-AX132)+IF(BC132&lt;=0,0,AY133-BC132)</f>
        <v/>
      </c>
      <c r="D133" s="32">
        <f>G133+I133+L133+N133+Q133+S133+V133+X133+AA133+AC133+AF133+AH133+AK133+AM133+AP133+AR133+AU133+AW133+AZ133+BB133</f>
        <v/>
      </c>
      <c r="E133" s="32">
        <f>J133+O133+T133+Y133+AD133+AI133+AN133+AS133+AX133+BC133</f>
        <v/>
      </c>
      <c r="F133" s="33">
        <f>IF(J132&lt;=0,0,ROUND(J132*(1+'Your debts'!$D$6/1200),2))</f>
        <v/>
      </c>
      <c r="G133" s="33">
        <f>IF(F133&lt;=0,0,MIN('Your debts'!$E$6,F133))</f>
        <v/>
      </c>
      <c r="H133" s="33">
        <f>F133-G133</f>
        <v/>
      </c>
      <c r="I133" s="33">
        <f>IF('Your debts'!$F$6="",0,MIN(H133,MAX(0,MAX(0,'Your debts'!$C$19-(G133+L133+Q133+V133+AA133+AF133+AK133+AP133+AU133+AZ133))-(IF(AND('Your debts'!$F$7&lt;&gt;"",'Your debts'!$F$6&lt;&gt;"",'Your debts'!$F$7&lt;'Your debts'!$F$6),M133,0)+IF(AND('Your debts'!$F$8&lt;&gt;"",'Your debts'!$F$6&lt;&gt;"",'Your debts'!$F$8&lt;'Your debts'!$F$6),R133,0)+IF(AND('Your debts'!$F$9&lt;&gt;"",'Your debts'!$F$6&lt;&gt;"",'Your debts'!$F$9&lt;'Your debts'!$F$6),W133,0)+IF(AND('Your debts'!$F$10&lt;&gt;"",'Your debts'!$F$6&lt;&gt;"",'Your debts'!$F$10&lt;'Your debts'!$F$6),AB133,0)+IF(AND('Your debts'!$F$11&lt;&gt;"",'Your debts'!$F$6&lt;&gt;"",'Your debts'!$F$11&lt;'Your debts'!$F$6),AG133,0)+IF(AND('Your debts'!$F$12&lt;&gt;"",'Your debts'!$F$6&lt;&gt;"",'Your debts'!$F$12&lt;'Your debts'!$F$6),AL133,0)+IF(AND('Your debts'!$F$13&lt;&gt;"",'Your debts'!$F$6&lt;&gt;"",'Your debts'!$F$13&lt;'Your debts'!$F$6),AQ133,0)+IF(AND('Your debts'!$F$14&lt;&gt;"",'Your debts'!$F$6&lt;&gt;"",'Your debts'!$F$14&lt;'Your debts'!$F$6),AV133,0)+IF(AND('Your debts'!$F$15&lt;&gt;"",'Your debts'!$F$6&lt;&gt;"",'Your debts'!$F$15&lt;'Your debts'!$F$6),BA133,0)))))</f>
        <v/>
      </c>
      <c r="J133" s="33">
        <f>H133-I133</f>
        <v/>
      </c>
      <c r="K133" s="33">
        <f>IF(O132&lt;=0,0,ROUND(O132*(1+'Your debts'!$D$7/1200),2))</f>
        <v/>
      </c>
      <c r="L133" s="33">
        <f>IF(K133&lt;=0,0,MIN('Your debts'!$E$7,K133))</f>
        <v/>
      </c>
      <c r="M133" s="33">
        <f>K133-L133</f>
        <v/>
      </c>
      <c r="N133" s="33">
        <f>IF('Your debts'!$F$7="",0,MIN(M133,MAX(0,MAX(0,'Your debts'!$C$19-(G133+L133+Q133+V133+AA133+AF133+AK133+AP133+AU133+AZ133))-(IF(AND('Your debts'!$F$6&lt;&gt;"",'Your debts'!$F$7&lt;&gt;"",'Your debts'!$F$6&lt;'Your debts'!$F$7),H133,0)+IF(AND('Your debts'!$F$8&lt;&gt;"",'Your debts'!$F$7&lt;&gt;"",'Your debts'!$F$8&lt;'Your debts'!$F$7),R133,0)+IF(AND('Your debts'!$F$9&lt;&gt;"",'Your debts'!$F$7&lt;&gt;"",'Your debts'!$F$9&lt;'Your debts'!$F$7),W133,0)+IF(AND('Your debts'!$F$10&lt;&gt;"",'Your debts'!$F$7&lt;&gt;"",'Your debts'!$F$10&lt;'Your debts'!$F$7),AB133,0)+IF(AND('Your debts'!$F$11&lt;&gt;"",'Your debts'!$F$7&lt;&gt;"",'Your debts'!$F$11&lt;'Your debts'!$F$7),AG133,0)+IF(AND('Your debts'!$F$12&lt;&gt;"",'Your debts'!$F$7&lt;&gt;"",'Your debts'!$F$12&lt;'Your debts'!$F$7),AL133,0)+IF(AND('Your debts'!$F$13&lt;&gt;"",'Your debts'!$F$7&lt;&gt;"",'Your debts'!$F$13&lt;'Your debts'!$F$7),AQ133,0)+IF(AND('Your debts'!$F$14&lt;&gt;"",'Your debts'!$F$7&lt;&gt;"",'Your debts'!$F$14&lt;'Your debts'!$F$7),AV133,0)+IF(AND('Your debts'!$F$15&lt;&gt;"",'Your debts'!$F$7&lt;&gt;"",'Your debts'!$F$15&lt;'Your debts'!$F$7),BA133,0)))))</f>
        <v/>
      </c>
      <c r="O133" s="33">
        <f>M133-N133</f>
        <v/>
      </c>
      <c r="P133" s="33">
        <f>IF(T132&lt;=0,0,ROUND(T132*(1+'Your debts'!$D$8/1200),2))</f>
        <v/>
      </c>
      <c r="Q133" s="33">
        <f>IF(P133&lt;=0,0,MIN('Your debts'!$E$8,P133))</f>
        <v/>
      </c>
      <c r="R133" s="33">
        <f>P133-Q133</f>
        <v/>
      </c>
      <c r="S133" s="33">
        <f>IF('Your debts'!$F$8="",0,MIN(R133,MAX(0,MAX(0,'Your debts'!$C$19-(G133+L133+Q133+V133+AA133+AF133+AK133+AP133+AU133+AZ133))-(IF(AND('Your debts'!$F$6&lt;&gt;"",'Your debts'!$F$8&lt;&gt;"",'Your debts'!$F$6&lt;'Your debts'!$F$8),H133,0)+IF(AND('Your debts'!$F$7&lt;&gt;"",'Your debts'!$F$8&lt;&gt;"",'Your debts'!$F$7&lt;'Your debts'!$F$8),M133,0)+IF(AND('Your debts'!$F$9&lt;&gt;"",'Your debts'!$F$8&lt;&gt;"",'Your debts'!$F$9&lt;'Your debts'!$F$8),W133,0)+IF(AND('Your debts'!$F$10&lt;&gt;"",'Your debts'!$F$8&lt;&gt;"",'Your debts'!$F$10&lt;'Your debts'!$F$8),AB133,0)+IF(AND('Your debts'!$F$11&lt;&gt;"",'Your debts'!$F$8&lt;&gt;"",'Your debts'!$F$11&lt;'Your debts'!$F$8),AG133,0)+IF(AND('Your debts'!$F$12&lt;&gt;"",'Your debts'!$F$8&lt;&gt;"",'Your debts'!$F$12&lt;'Your debts'!$F$8),AL133,0)+IF(AND('Your debts'!$F$13&lt;&gt;"",'Your debts'!$F$8&lt;&gt;"",'Your debts'!$F$13&lt;'Your debts'!$F$8),AQ133,0)+IF(AND('Your debts'!$F$14&lt;&gt;"",'Your debts'!$F$8&lt;&gt;"",'Your debts'!$F$14&lt;'Your debts'!$F$8),AV133,0)+IF(AND('Your debts'!$F$15&lt;&gt;"",'Your debts'!$F$8&lt;&gt;"",'Your debts'!$F$15&lt;'Your debts'!$F$8),BA133,0)))))</f>
        <v/>
      </c>
      <c r="T133" s="33">
        <f>R133-S133</f>
        <v/>
      </c>
      <c r="U133" s="33">
        <f>IF(Y132&lt;=0,0,ROUND(Y132*(1+'Your debts'!$D$9/1200),2))</f>
        <v/>
      </c>
      <c r="V133" s="33">
        <f>IF(U133&lt;=0,0,MIN('Your debts'!$E$9,U133))</f>
        <v/>
      </c>
      <c r="W133" s="33">
        <f>U133-V133</f>
        <v/>
      </c>
      <c r="X133" s="33">
        <f>IF('Your debts'!$F$9="",0,MIN(W133,MAX(0,MAX(0,'Your debts'!$C$19-(G133+L133+Q133+V133+AA133+AF133+AK133+AP133+AU133+AZ133))-(IF(AND('Your debts'!$F$6&lt;&gt;"",'Your debts'!$F$9&lt;&gt;"",'Your debts'!$F$6&lt;'Your debts'!$F$9),H133,0)+IF(AND('Your debts'!$F$7&lt;&gt;"",'Your debts'!$F$9&lt;&gt;"",'Your debts'!$F$7&lt;'Your debts'!$F$9),M133,0)+IF(AND('Your debts'!$F$8&lt;&gt;"",'Your debts'!$F$9&lt;&gt;"",'Your debts'!$F$8&lt;'Your debts'!$F$9),R133,0)+IF(AND('Your debts'!$F$10&lt;&gt;"",'Your debts'!$F$9&lt;&gt;"",'Your debts'!$F$10&lt;'Your debts'!$F$9),AB133,0)+IF(AND('Your debts'!$F$11&lt;&gt;"",'Your debts'!$F$9&lt;&gt;"",'Your debts'!$F$11&lt;'Your debts'!$F$9),AG133,0)+IF(AND('Your debts'!$F$12&lt;&gt;"",'Your debts'!$F$9&lt;&gt;"",'Your debts'!$F$12&lt;'Your debts'!$F$9),AL133,0)+IF(AND('Your debts'!$F$13&lt;&gt;"",'Your debts'!$F$9&lt;&gt;"",'Your debts'!$F$13&lt;'Your debts'!$F$9),AQ133,0)+IF(AND('Your debts'!$F$14&lt;&gt;"",'Your debts'!$F$9&lt;&gt;"",'Your debts'!$F$14&lt;'Your debts'!$F$9),AV133,0)+IF(AND('Your debts'!$F$15&lt;&gt;"",'Your debts'!$F$9&lt;&gt;"",'Your debts'!$F$15&lt;'Your debts'!$F$9),BA133,0)))))</f>
        <v/>
      </c>
      <c r="Y133" s="33">
        <f>W133-X133</f>
        <v/>
      </c>
      <c r="Z133" s="33">
        <f>IF(AD132&lt;=0,0,ROUND(AD132*(1+'Your debts'!$D$10/1200),2))</f>
        <v/>
      </c>
      <c r="AA133" s="33">
        <f>IF(Z133&lt;=0,0,MIN('Your debts'!$E$10,Z133))</f>
        <v/>
      </c>
      <c r="AB133" s="33">
        <f>Z133-AA133</f>
        <v/>
      </c>
      <c r="AC133" s="33">
        <f>IF('Your debts'!$F$10="",0,MIN(AB133,MAX(0,MAX(0,'Your debts'!$C$19-(G133+L133+Q133+V133+AA133+AF133+AK133+AP133+AU133+AZ133))-(IF(AND('Your debts'!$F$6&lt;&gt;"",'Your debts'!$F$10&lt;&gt;"",'Your debts'!$F$6&lt;'Your debts'!$F$10),H133,0)+IF(AND('Your debts'!$F$7&lt;&gt;"",'Your debts'!$F$10&lt;&gt;"",'Your debts'!$F$7&lt;'Your debts'!$F$10),M133,0)+IF(AND('Your debts'!$F$8&lt;&gt;"",'Your debts'!$F$10&lt;&gt;"",'Your debts'!$F$8&lt;'Your debts'!$F$10),R133,0)+IF(AND('Your debts'!$F$9&lt;&gt;"",'Your debts'!$F$10&lt;&gt;"",'Your debts'!$F$9&lt;'Your debts'!$F$10),W133,0)+IF(AND('Your debts'!$F$11&lt;&gt;"",'Your debts'!$F$10&lt;&gt;"",'Your debts'!$F$11&lt;'Your debts'!$F$10),AG133,0)+IF(AND('Your debts'!$F$12&lt;&gt;"",'Your debts'!$F$10&lt;&gt;"",'Your debts'!$F$12&lt;'Your debts'!$F$10),AL133,0)+IF(AND('Your debts'!$F$13&lt;&gt;"",'Your debts'!$F$10&lt;&gt;"",'Your debts'!$F$13&lt;'Your debts'!$F$10),AQ133,0)+IF(AND('Your debts'!$F$14&lt;&gt;"",'Your debts'!$F$10&lt;&gt;"",'Your debts'!$F$14&lt;'Your debts'!$F$10),AV133,0)+IF(AND('Your debts'!$F$15&lt;&gt;"",'Your debts'!$F$10&lt;&gt;"",'Your debts'!$F$15&lt;'Your debts'!$F$10),BA133,0)))))</f>
        <v/>
      </c>
      <c r="AD133" s="33">
        <f>AB133-AC133</f>
        <v/>
      </c>
      <c r="AE133" s="33">
        <f>IF(AI132&lt;=0,0,ROUND(AI132*(1+'Your debts'!$D$11/1200),2))</f>
        <v/>
      </c>
      <c r="AF133" s="33">
        <f>IF(AE133&lt;=0,0,MIN('Your debts'!$E$11,AE133))</f>
        <v/>
      </c>
      <c r="AG133" s="33">
        <f>AE133-AF133</f>
        <v/>
      </c>
      <c r="AH133" s="33">
        <f>IF('Your debts'!$F$11="",0,MIN(AG133,MAX(0,MAX(0,'Your debts'!$C$19-(G133+L133+Q133+V133+AA133+AF133+AK133+AP133+AU133+AZ133))-(IF(AND('Your debts'!$F$6&lt;&gt;"",'Your debts'!$F$11&lt;&gt;"",'Your debts'!$F$6&lt;'Your debts'!$F$11),H133,0)+IF(AND('Your debts'!$F$7&lt;&gt;"",'Your debts'!$F$11&lt;&gt;"",'Your debts'!$F$7&lt;'Your debts'!$F$11),M133,0)+IF(AND('Your debts'!$F$8&lt;&gt;"",'Your debts'!$F$11&lt;&gt;"",'Your debts'!$F$8&lt;'Your debts'!$F$11),R133,0)+IF(AND('Your debts'!$F$9&lt;&gt;"",'Your debts'!$F$11&lt;&gt;"",'Your debts'!$F$9&lt;'Your debts'!$F$11),W133,0)+IF(AND('Your debts'!$F$10&lt;&gt;"",'Your debts'!$F$11&lt;&gt;"",'Your debts'!$F$10&lt;'Your debts'!$F$11),AB133,0)+IF(AND('Your debts'!$F$12&lt;&gt;"",'Your debts'!$F$11&lt;&gt;"",'Your debts'!$F$12&lt;'Your debts'!$F$11),AL133,0)+IF(AND('Your debts'!$F$13&lt;&gt;"",'Your debts'!$F$11&lt;&gt;"",'Your debts'!$F$13&lt;'Your debts'!$F$11),AQ133,0)+IF(AND('Your debts'!$F$14&lt;&gt;"",'Your debts'!$F$11&lt;&gt;"",'Your debts'!$F$14&lt;'Your debts'!$F$11),AV133,0)+IF(AND('Your debts'!$F$15&lt;&gt;"",'Your debts'!$F$11&lt;&gt;"",'Your debts'!$F$15&lt;'Your debts'!$F$11),BA133,0)))))</f>
        <v/>
      </c>
      <c r="AI133" s="33">
        <f>AG133-AH133</f>
        <v/>
      </c>
      <c r="AJ133" s="33">
        <f>IF(AN132&lt;=0,0,ROUND(AN132*(1+'Your debts'!$D$12/1200),2))</f>
        <v/>
      </c>
      <c r="AK133" s="33">
        <f>IF(AJ133&lt;=0,0,MIN('Your debts'!$E$12,AJ133))</f>
        <v/>
      </c>
      <c r="AL133" s="33">
        <f>AJ133-AK133</f>
        <v/>
      </c>
      <c r="AM133" s="33">
        <f>IF('Your debts'!$F$12="",0,MIN(AL133,MAX(0,MAX(0,'Your debts'!$C$19-(G133+L133+Q133+V133+AA133+AF133+AK133+AP133+AU133+AZ133))-(IF(AND('Your debts'!$F$6&lt;&gt;"",'Your debts'!$F$12&lt;&gt;"",'Your debts'!$F$6&lt;'Your debts'!$F$12),H133,0)+IF(AND('Your debts'!$F$7&lt;&gt;"",'Your debts'!$F$12&lt;&gt;"",'Your debts'!$F$7&lt;'Your debts'!$F$12),M133,0)+IF(AND('Your debts'!$F$8&lt;&gt;"",'Your debts'!$F$12&lt;&gt;"",'Your debts'!$F$8&lt;'Your debts'!$F$12),R133,0)+IF(AND('Your debts'!$F$9&lt;&gt;"",'Your debts'!$F$12&lt;&gt;"",'Your debts'!$F$9&lt;'Your debts'!$F$12),W133,0)+IF(AND('Your debts'!$F$10&lt;&gt;"",'Your debts'!$F$12&lt;&gt;"",'Your debts'!$F$10&lt;'Your debts'!$F$12),AB133,0)+IF(AND('Your debts'!$F$11&lt;&gt;"",'Your debts'!$F$12&lt;&gt;"",'Your debts'!$F$11&lt;'Your debts'!$F$12),AG133,0)+IF(AND('Your debts'!$F$13&lt;&gt;"",'Your debts'!$F$12&lt;&gt;"",'Your debts'!$F$13&lt;'Your debts'!$F$12),AQ133,0)+IF(AND('Your debts'!$F$14&lt;&gt;"",'Your debts'!$F$12&lt;&gt;"",'Your debts'!$F$14&lt;'Your debts'!$F$12),AV133,0)+IF(AND('Your debts'!$F$15&lt;&gt;"",'Your debts'!$F$12&lt;&gt;"",'Your debts'!$F$15&lt;'Your debts'!$F$12),BA133,0)))))</f>
        <v/>
      </c>
      <c r="AN133" s="33">
        <f>AL133-AM133</f>
        <v/>
      </c>
      <c r="AO133" s="33">
        <f>IF(AS132&lt;=0,0,ROUND(AS132*(1+'Your debts'!$D$13/1200),2))</f>
        <v/>
      </c>
      <c r="AP133" s="33">
        <f>IF(AO133&lt;=0,0,MIN('Your debts'!$E$13,AO133))</f>
        <v/>
      </c>
      <c r="AQ133" s="33">
        <f>AO133-AP133</f>
        <v/>
      </c>
      <c r="AR133" s="33">
        <f>IF('Your debts'!$F$13="",0,MIN(AQ133,MAX(0,MAX(0,'Your debts'!$C$19-(G133+L133+Q133+V133+AA133+AF133+AK133+AP133+AU133+AZ133))-(IF(AND('Your debts'!$F$6&lt;&gt;"",'Your debts'!$F$13&lt;&gt;"",'Your debts'!$F$6&lt;'Your debts'!$F$13),H133,0)+IF(AND('Your debts'!$F$7&lt;&gt;"",'Your debts'!$F$13&lt;&gt;"",'Your debts'!$F$7&lt;'Your debts'!$F$13),M133,0)+IF(AND('Your debts'!$F$8&lt;&gt;"",'Your debts'!$F$13&lt;&gt;"",'Your debts'!$F$8&lt;'Your debts'!$F$13),R133,0)+IF(AND('Your debts'!$F$9&lt;&gt;"",'Your debts'!$F$13&lt;&gt;"",'Your debts'!$F$9&lt;'Your debts'!$F$13),W133,0)+IF(AND('Your debts'!$F$10&lt;&gt;"",'Your debts'!$F$13&lt;&gt;"",'Your debts'!$F$10&lt;'Your debts'!$F$13),AB133,0)+IF(AND('Your debts'!$F$11&lt;&gt;"",'Your debts'!$F$13&lt;&gt;"",'Your debts'!$F$11&lt;'Your debts'!$F$13),AG133,0)+IF(AND('Your debts'!$F$12&lt;&gt;"",'Your debts'!$F$13&lt;&gt;"",'Your debts'!$F$12&lt;'Your debts'!$F$13),AL133,0)+IF(AND('Your debts'!$F$14&lt;&gt;"",'Your debts'!$F$13&lt;&gt;"",'Your debts'!$F$14&lt;'Your debts'!$F$13),AV133,0)+IF(AND('Your debts'!$F$15&lt;&gt;"",'Your debts'!$F$13&lt;&gt;"",'Your debts'!$F$15&lt;'Your debts'!$F$13),BA133,0)))))</f>
        <v/>
      </c>
      <c r="AS133" s="33">
        <f>AQ133-AR133</f>
        <v/>
      </c>
      <c r="AT133" s="33">
        <f>IF(AX132&lt;=0,0,ROUND(AX132*(1+'Your debts'!$D$14/1200),2))</f>
        <v/>
      </c>
      <c r="AU133" s="33">
        <f>IF(AT133&lt;=0,0,MIN('Your debts'!$E$14,AT133))</f>
        <v/>
      </c>
      <c r="AV133" s="33">
        <f>AT133-AU133</f>
        <v/>
      </c>
      <c r="AW133" s="33">
        <f>IF('Your debts'!$F$14="",0,MIN(AV133,MAX(0,MAX(0,'Your debts'!$C$19-(G133+L133+Q133+V133+AA133+AF133+AK133+AP133+AU133+AZ133))-(IF(AND('Your debts'!$F$6&lt;&gt;"",'Your debts'!$F$14&lt;&gt;"",'Your debts'!$F$6&lt;'Your debts'!$F$14),H133,0)+IF(AND('Your debts'!$F$7&lt;&gt;"",'Your debts'!$F$14&lt;&gt;"",'Your debts'!$F$7&lt;'Your debts'!$F$14),M133,0)+IF(AND('Your debts'!$F$8&lt;&gt;"",'Your debts'!$F$14&lt;&gt;"",'Your debts'!$F$8&lt;'Your debts'!$F$14),R133,0)+IF(AND('Your debts'!$F$9&lt;&gt;"",'Your debts'!$F$14&lt;&gt;"",'Your debts'!$F$9&lt;'Your debts'!$F$14),W133,0)+IF(AND('Your debts'!$F$10&lt;&gt;"",'Your debts'!$F$14&lt;&gt;"",'Your debts'!$F$10&lt;'Your debts'!$F$14),AB133,0)+IF(AND('Your debts'!$F$11&lt;&gt;"",'Your debts'!$F$14&lt;&gt;"",'Your debts'!$F$11&lt;'Your debts'!$F$14),AG133,0)+IF(AND('Your debts'!$F$12&lt;&gt;"",'Your debts'!$F$14&lt;&gt;"",'Your debts'!$F$12&lt;'Your debts'!$F$14),AL133,0)+IF(AND('Your debts'!$F$13&lt;&gt;"",'Your debts'!$F$14&lt;&gt;"",'Your debts'!$F$13&lt;'Your debts'!$F$14),AQ133,0)+IF(AND('Your debts'!$F$15&lt;&gt;"",'Your debts'!$F$14&lt;&gt;"",'Your debts'!$F$15&lt;'Your debts'!$F$14),BA133,0)))))</f>
        <v/>
      </c>
      <c r="AX133" s="33">
        <f>AV133-AW133</f>
        <v/>
      </c>
      <c r="AY133" s="33">
        <f>IF(BC132&lt;=0,0,ROUND(BC132*(1+'Your debts'!$D$15/1200),2))</f>
        <v/>
      </c>
      <c r="AZ133" s="33">
        <f>IF(AY133&lt;=0,0,MIN('Your debts'!$E$15,AY133))</f>
        <v/>
      </c>
      <c r="BA133" s="33">
        <f>AY133-AZ133</f>
        <v/>
      </c>
      <c r="BB133" s="33">
        <f>IF('Your debts'!$F$15="",0,MIN(BA133,MAX(0,MAX(0,'Your debts'!$C$19-(G133+L133+Q133+V133+AA133+AF133+AK133+AP133+AU133+AZ133))-(IF(AND('Your debts'!$F$6&lt;&gt;"",'Your debts'!$F$15&lt;&gt;"",'Your debts'!$F$6&lt;'Your debts'!$F$15),H133,0)+IF(AND('Your debts'!$F$7&lt;&gt;"",'Your debts'!$F$15&lt;&gt;"",'Your debts'!$F$7&lt;'Your debts'!$F$15),M133,0)+IF(AND('Your debts'!$F$8&lt;&gt;"",'Your debts'!$F$15&lt;&gt;"",'Your debts'!$F$8&lt;'Your debts'!$F$15),R133,0)+IF(AND('Your debts'!$F$9&lt;&gt;"",'Your debts'!$F$15&lt;&gt;"",'Your debts'!$F$9&lt;'Your debts'!$F$15),W133,0)+IF(AND('Your debts'!$F$10&lt;&gt;"",'Your debts'!$F$15&lt;&gt;"",'Your debts'!$F$10&lt;'Your debts'!$F$15),AB133,0)+IF(AND('Your debts'!$F$11&lt;&gt;"",'Your debts'!$F$15&lt;&gt;"",'Your debts'!$F$11&lt;'Your debts'!$F$15),AG133,0)+IF(AND('Your debts'!$F$12&lt;&gt;"",'Your debts'!$F$15&lt;&gt;"",'Your debts'!$F$12&lt;'Your debts'!$F$15),AL133,0)+IF(AND('Your debts'!$F$13&lt;&gt;"",'Your debts'!$F$15&lt;&gt;"",'Your debts'!$F$13&lt;'Your debts'!$F$15),AQ133,0)+IF(AND('Your debts'!$F$14&lt;&gt;"",'Your debts'!$F$15&lt;&gt;"",'Your debts'!$F$14&lt;'Your debts'!$F$15),AV133,0)))))</f>
        <v/>
      </c>
      <c r="BC133" s="33">
        <f>BA133-BB133</f>
        <v/>
      </c>
    </row>
    <row r="134">
      <c r="A134" s="30" t="n">
        <v>119</v>
      </c>
      <c r="B134" s="31">
        <f>EDATE($B$15,119)</f>
        <v/>
      </c>
      <c r="C134" s="32">
        <f>IF(J133&lt;=0,0,F134-J133)+IF(O133&lt;=0,0,K134-O133)+IF(T133&lt;=0,0,P134-T133)+IF(Y133&lt;=0,0,U134-Y133)+IF(AD133&lt;=0,0,Z134-AD133)+IF(AI133&lt;=0,0,AE134-AI133)+IF(AN133&lt;=0,0,AJ134-AN133)+IF(AS133&lt;=0,0,AO134-AS133)+IF(AX133&lt;=0,0,AT134-AX133)+IF(BC133&lt;=0,0,AY134-BC133)</f>
        <v/>
      </c>
      <c r="D134" s="32">
        <f>G134+I134+L134+N134+Q134+S134+V134+X134+AA134+AC134+AF134+AH134+AK134+AM134+AP134+AR134+AU134+AW134+AZ134+BB134</f>
        <v/>
      </c>
      <c r="E134" s="32">
        <f>J134+O134+T134+Y134+AD134+AI134+AN134+AS134+AX134+BC134</f>
        <v/>
      </c>
      <c r="F134" s="33">
        <f>IF(J133&lt;=0,0,ROUND(J133*(1+'Your debts'!$D$6/1200),2))</f>
        <v/>
      </c>
      <c r="G134" s="33">
        <f>IF(F134&lt;=0,0,MIN('Your debts'!$E$6,F134))</f>
        <v/>
      </c>
      <c r="H134" s="33">
        <f>F134-G134</f>
        <v/>
      </c>
      <c r="I134" s="33">
        <f>IF('Your debts'!$F$6="",0,MIN(H134,MAX(0,MAX(0,'Your debts'!$C$19-(G134+L134+Q134+V134+AA134+AF134+AK134+AP134+AU134+AZ134))-(IF(AND('Your debts'!$F$7&lt;&gt;"",'Your debts'!$F$6&lt;&gt;"",'Your debts'!$F$7&lt;'Your debts'!$F$6),M134,0)+IF(AND('Your debts'!$F$8&lt;&gt;"",'Your debts'!$F$6&lt;&gt;"",'Your debts'!$F$8&lt;'Your debts'!$F$6),R134,0)+IF(AND('Your debts'!$F$9&lt;&gt;"",'Your debts'!$F$6&lt;&gt;"",'Your debts'!$F$9&lt;'Your debts'!$F$6),W134,0)+IF(AND('Your debts'!$F$10&lt;&gt;"",'Your debts'!$F$6&lt;&gt;"",'Your debts'!$F$10&lt;'Your debts'!$F$6),AB134,0)+IF(AND('Your debts'!$F$11&lt;&gt;"",'Your debts'!$F$6&lt;&gt;"",'Your debts'!$F$11&lt;'Your debts'!$F$6),AG134,0)+IF(AND('Your debts'!$F$12&lt;&gt;"",'Your debts'!$F$6&lt;&gt;"",'Your debts'!$F$12&lt;'Your debts'!$F$6),AL134,0)+IF(AND('Your debts'!$F$13&lt;&gt;"",'Your debts'!$F$6&lt;&gt;"",'Your debts'!$F$13&lt;'Your debts'!$F$6),AQ134,0)+IF(AND('Your debts'!$F$14&lt;&gt;"",'Your debts'!$F$6&lt;&gt;"",'Your debts'!$F$14&lt;'Your debts'!$F$6),AV134,0)+IF(AND('Your debts'!$F$15&lt;&gt;"",'Your debts'!$F$6&lt;&gt;"",'Your debts'!$F$15&lt;'Your debts'!$F$6),BA134,0)))))</f>
        <v/>
      </c>
      <c r="J134" s="33">
        <f>H134-I134</f>
        <v/>
      </c>
      <c r="K134" s="33">
        <f>IF(O133&lt;=0,0,ROUND(O133*(1+'Your debts'!$D$7/1200),2))</f>
        <v/>
      </c>
      <c r="L134" s="33">
        <f>IF(K134&lt;=0,0,MIN('Your debts'!$E$7,K134))</f>
        <v/>
      </c>
      <c r="M134" s="33">
        <f>K134-L134</f>
        <v/>
      </c>
      <c r="N134" s="33">
        <f>IF('Your debts'!$F$7="",0,MIN(M134,MAX(0,MAX(0,'Your debts'!$C$19-(G134+L134+Q134+V134+AA134+AF134+AK134+AP134+AU134+AZ134))-(IF(AND('Your debts'!$F$6&lt;&gt;"",'Your debts'!$F$7&lt;&gt;"",'Your debts'!$F$6&lt;'Your debts'!$F$7),H134,0)+IF(AND('Your debts'!$F$8&lt;&gt;"",'Your debts'!$F$7&lt;&gt;"",'Your debts'!$F$8&lt;'Your debts'!$F$7),R134,0)+IF(AND('Your debts'!$F$9&lt;&gt;"",'Your debts'!$F$7&lt;&gt;"",'Your debts'!$F$9&lt;'Your debts'!$F$7),W134,0)+IF(AND('Your debts'!$F$10&lt;&gt;"",'Your debts'!$F$7&lt;&gt;"",'Your debts'!$F$10&lt;'Your debts'!$F$7),AB134,0)+IF(AND('Your debts'!$F$11&lt;&gt;"",'Your debts'!$F$7&lt;&gt;"",'Your debts'!$F$11&lt;'Your debts'!$F$7),AG134,0)+IF(AND('Your debts'!$F$12&lt;&gt;"",'Your debts'!$F$7&lt;&gt;"",'Your debts'!$F$12&lt;'Your debts'!$F$7),AL134,0)+IF(AND('Your debts'!$F$13&lt;&gt;"",'Your debts'!$F$7&lt;&gt;"",'Your debts'!$F$13&lt;'Your debts'!$F$7),AQ134,0)+IF(AND('Your debts'!$F$14&lt;&gt;"",'Your debts'!$F$7&lt;&gt;"",'Your debts'!$F$14&lt;'Your debts'!$F$7),AV134,0)+IF(AND('Your debts'!$F$15&lt;&gt;"",'Your debts'!$F$7&lt;&gt;"",'Your debts'!$F$15&lt;'Your debts'!$F$7),BA134,0)))))</f>
        <v/>
      </c>
      <c r="O134" s="33">
        <f>M134-N134</f>
        <v/>
      </c>
      <c r="P134" s="33">
        <f>IF(T133&lt;=0,0,ROUND(T133*(1+'Your debts'!$D$8/1200),2))</f>
        <v/>
      </c>
      <c r="Q134" s="33">
        <f>IF(P134&lt;=0,0,MIN('Your debts'!$E$8,P134))</f>
        <v/>
      </c>
      <c r="R134" s="33">
        <f>P134-Q134</f>
        <v/>
      </c>
      <c r="S134" s="33">
        <f>IF('Your debts'!$F$8="",0,MIN(R134,MAX(0,MAX(0,'Your debts'!$C$19-(G134+L134+Q134+V134+AA134+AF134+AK134+AP134+AU134+AZ134))-(IF(AND('Your debts'!$F$6&lt;&gt;"",'Your debts'!$F$8&lt;&gt;"",'Your debts'!$F$6&lt;'Your debts'!$F$8),H134,0)+IF(AND('Your debts'!$F$7&lt;&gt;"",'Your debts'!$F$8&lt;&gt;"",'Your debts'!$F$7&lt;'Your debts'!$F$8),M134,0)+IF(AND('Your debts'!$F$9&lt;&gt;"",'Your debts'!$F$8&lt;&gt;"",'Your debts'!$F$9&lt;'Your debts'!$F$8),W134,0)+IF(AND('Your debts'!$F$10&lt;&gt;"",'Your debts'!$F$8&lt;&gt;"",'Your debts'!$F$10&lt;'Your debts'!$F$8),AB134,0)+IF(AND('Your debts'!$F$11&lt;&gt;"",'Your debts'!$F$8&lt;&gt;"",'Your debts'!$F$11&lt;'Your debts'!$F$8),AG134,0)+IF(AND('Your debts'!$F$12&lt;&gt;"",'Your debts'!$F$8&lt;&gt;"",'Your debts'!$F$12&lt;'Your debts'!$F$8),AL134,0)+IF(AND('Your debts'!$F$13&lt;&gt;"",'Your debts'!$F$8&lt;&gt;"",'Your debts'!$F$13&lt;'Your debts'!$F$8),AQ134,0)+IF(AND('Your debts'!$F$14&lt;&gt;"",'Your debts'!$F$8&lt;&gt;"",'Your debts'!$F$14&lt;'Your debts'!$F$8),AV134,0)+IF(AND('Your debts'!$F$15&lt;&gt;"",'Your debts'!$F$8&lt;&gt;"",'Your debts'!$F$15&lt;'Your debts'!$F$8),BA134,0)))))</f>
        <v/>
      </c>
      <c r="T134" s="33">
        <f>R134-S134</f>
        <v/>
      </c>
      <c r="U134" s="33">
        <f>IF(Y133&lt;=0,0,ROUND(Y133*(1+'Your debts'!$D$9/1200),2))</f>
        <v/>
      </c>
      <c r="V134" s="33">
        <f>IF(U134&lt;=0,0,MIN('Your debts'!$E$9,U134))</f>
        <v/>
      </c>
      <c r="W134" s="33">
        <f>U134-V134</f>
        <v/>
      </c>
      <c r="X134" s="33">
        <f>IF('Your debts'!$F$9="",0,MIN(W134,MAX(0,MAX(0,'Your debts'!$C$19-(G134+L134+Q134+V134+AA134+AF134+AK134+AP134+AU134+AZ134))-(IF(AND('Your debts'!$F$6&lt;&gt;"",'Your debts'!$F$9&lt;&gt;"",'Your debts'!$F$6&lt;'Your debts'!$F$9),H134,0)+IF(AND('Your debts'!$F$7&lt;&gt;"",'Your debts'!$F$9&lt;&gt;"",'Your debts'!$F$7&lt;'Your debts'!$F$9),M134,0)+IF(AND('Your debts'!$F$8&lt;&gt;"",'Your debts'!$F$9&lt;&gt;"",'Your debts'!$F$8&lt;'Your debts'!$F$9),R134,0)+IF(AND('Your debts'!$F$10&lt;&gt;"",'Your debts'!$F$9&lt;&gt;"",'Your debts'!$F$10&lt;'Your debts'!$F$9),AB134,0)+IF(AND('Your debts'!$F$11&lt;&gt;"",'Your debts'!$F$9&lt;&gt;"",'Your debts'!$F$11&lt;'Your debts'!$F$9),AG134,0)+IF(AND('Your debts'!$F$12&lt;&gt;"",'Your debts'!$F$9&lt;&gt;"",'Your debts'!$F$12&lt;'Your debts'!$F$9),AL134,0)+IF(AND('Your debts'!$F$13&lt;&gt;"",'Your debts'!$F$9&lt;&gt;"",'Your debts'!$F$13&lt;'Your debts'!$F$9),AQ134,0)+IF(AND('Your debts'!$F$14&lt;&gt;"",'Your debts'!$F$9&lt;&gt;"",'Your debts'!$F$14&lt;'Your debts'!$F$9),AV134,0)+IF(AND('Your debts'!$F$15&lt;&gt;"",'Your debts'!$F$9&lt;&gt;"",'Your debts'!$F$15&lt;'Your debts'!$F$9),BA134,0)))))</f>
        <v/>
      </c>
      <c r="Y134" s="33">
        <f>W134-X134</f>
        <v/>
      </c>
      <c r="Z134" s="33">
        <f>IF(AD133&lt;=0,0,ROUND(AD133*(1+'Your debts'!$D$10/1200),2))</f>
        <v/>
      </c>
      <c r="AA134" s="33">
        <f>IF(Z134&lt;=0,0,MIN('Your debts'!$E$10,Z134))</f>
        <v/>
      </c>
      <c r="AB134" s="33">
        <f>Z134-AA134</f>
        <v/>
      </c>
      <c r="AC134" s="33">
        <f>IF('Your debts'!$F$10="",0,MIN(AB134,MAX(0,MAX(0,'Your debts'!$C$19-(G134+L134+Q134+V134+AA134+AF134+AK134+AP134+AU134+AZ134))-(IF(AND('Your debts'!$F$6&lt;&gt;"",'Your debts'!$F$10&lt;&gt;"",'Your debts'!$F$6&lt;'Your debts'!$F$10),H134,0)+IF(AND('Your debts'!$F$7&lt;&gt;"",'Your debts'!$F$10&lt;&gt;"",'Your debts'!$F$7&lt;'Your debts'!$F$10),M134,0)+IF(AND('Your debts'!$F$8&lt;&gt;"",'Your debts'!$F$10&lt;&gt;"",'Your debts'!$F$8&lt;'Your debts'!$F$10),R134,0)+IF(AND('Your debts'!$F$9&lt;&gt;"",'Your debts'!$F$10&lt;&gt;"",'Your debts'!$F$9&lt;'Your debts'!$F$10),W134,0)+IF(AND('Your debts'!$F$11&lt;&gt;"",'Your debts'!$F$10&lt;&gt;"",'Your debts'!$F$11&lt;'Your debts'!$F$10),AG134,0)+IF(AND('Your debts'!$F$12&lt;&gt;"",'Your debts'!$F$10&lt;&gt;"",'Your debts'!$F$12&lt;'Your debts'!$F$10),AL134,0)+IF(AND('Your debts'!$F$13&lt;&gt;"",'Your debts'!$F$10&lt;&gt;"",'Your debts'!$F$13&lt;'Your debts'!$F$10),AQ134,0)+IF(AND('Your debts'!$F$14&lt;&gt;"",'Your debts'!$F$10&lt;&gt;"",'Your debts'!$F$14&lt;'Your debts'!$F$10),AV134,0)+IF(AND('Your debts'!$F$15&lt;&gt;"",'Your debts'!$F$10&lt;&gt;"",'Your debts'!$F$15&lt;'Your debts'!$F$10),BA134,0)))))</f>
        <v/>
      </c>
      <c r="AD134" s="33">
        <f>AB134-AC134</f>
        <v/>
      </c>
      <c r="AE134" s="33">
        <f>IF(AI133&lt;=0,0,ROUND(AI133*(1+'Your debts'!$D$11/1200),2))</f>
        <v/>
      </c>
      <c r="AF134" s="33">
        <f>IF(AE134&lt;=0,0,MIN('Your debts'!$E$11,AE134))</f>
        <v/>
      </c>
      <c r="AG134" s="33">
        <f>AE134-AF134</f>
        <v/>
      </c>
      <c r="AH134" s="33">
        <f>IF('Your debts'!$F$11="",0,MIN(AG134,MAX(0,MAX(0,'Your debts'!$C$19-(G134+L134+Q134+V134+AA134+AF134+AK134+AP134+AU134+AZ134))-(IF(AND('Your debts'!$F$6&lt;&gt;"",'Your debts'!$F$11&lt;&gt;"",'Your debts'!$F$6&lt;'Your debts'!$F$11),H134,0)+IF(AND('Your debts'!$F$7&lt;&gt;"",'Your debts'!$F$11&lt;&gt;"",'Your debts'!$F$7&lt;'Your debts'!$F$11),M134,0)+IF(AND('Your debts'!$F$8&lt;&gt;"",'Your debts'!$F$11&lt;&gt;"",'Your debts'!$F$8&lt;'Your debts'!$F$11),R134,0)+IF(AND('Your debts'!$F$9&lt;&gt;"",'Your debts'!$F$11&lt;&gt;"",'Your debts'!$F$9&lt;'Your debts'!$F$11),W134,0)+IF(AND('Your debts'!$F$10&lt;&gt;"",'Your debts'!$F$11&lt;&gt;"",'Your debts'!$F$10&lt;'Your debts'!$F$11),AB134,0)+IF(AND('Your debts'!$F$12&lt;&gt;"",'Your debts'!$F$11&lt;&gt;"",'Your debts'!$F$12&lt;'Your debts'!$F$11),AL134,0)+IF(AND('Your debts'!$F$13&lt;&gt;"",'Your debts'!$F$11&lt;&gt;"",'Your debts'!$F$13&lt;'Your debts'!$F$11),AQ134,0)+IF(AND('Your debts'!$F$14&lt;&gt;"",'Your debts'!$F$11&lt;&gt;"",'Your debts'!$F$14&lt;'Your debts'!$F$11),AV134,0)+IF(AND('Your debts'!$F$15&lt;&gt;"",'Your debts'!$F$11&lt;&gt;"",'Your debts'!$F$15&lt;'Your debts'!$F$11),BA134,0)))))</f>
        <v/>
      </c>
      <c r="AI134" s="33">
        <f>AG134-AH134</f>
        <v/>
      </c>
      <c r="AJ134" s="33">
        <f>IF(AN133&lt;=0,0,ROUND(AN133*(1+'Your debts'!$D$12/1200),2))</f>
        <v/>
      </c>
      <c r="AK134" s="33">
        <f>IF(AJ134&lt;=0,0,MIN('Your debts'!$E$12,AJ134))</f>
        <v/>
      </c>
      <c r="AL134" s="33">
        <f>AJ134-AK134</f>
        <v/>
      </c>
      <c r="AM134" s="33">
        <f>IF('Your debts'!$F$12="",0,MIN(AL134,MAX(0,MAX(0,'Your debts'!$C$19-(G134+L134+Q134+V134+AA134+AF134+AK134+AP134+AU134+AZ134))-(IF(AND('Your debts'!$F$6&lt;&gt;"",'Your debts'!$F$12&lt;&gt;"",'Your debts'!$F$6&lt;'Your debts'!$F$12),H134,0)+IF(AND('Your debts'!$F$7&lt;&gt;"",'Your debts'!$F$12&lt;&gt;"",'Your debts'!$F$7&lt;'Your debts'!$F$12),M134,0)+IF(AND('Your debts'!$F$8&lt;&gt;"",'Your debts'!$F$12&lt;&gt;"",'Your debts'!$F$8&lt;'Your debts'!$F$12),R134,0)+IF(AND('Your debts'!$F$9&lt;&gt;"",'Your debts'!$F$12&lt;&gt;"",'Your debts'!$F$9&lt;'Your debts'!$F$12),W134,0)+IF(AND('Your debts'!$F$10&lt;&gt;"",'Your debts'!$F$12&lt;&gt;"",'Your debts'!$F$10&lt;'Your debts'!$F$12),AB134,0)+IF(AND('Your debts'!$F$11&lt;&gt;"",'Your debts'!$F$12&lt;&gt;"",'Your debts'!$F$11&lt;'Your debts'!$F$12),AG134,0)+IF(AND('Your debts'!$F$13&lt;&gt;"",'Your debts'!$F$12&lt;&gt;"",'Your debts'!$F$13&lt;'Your debts'!$F$12),AQ134,0)+IF(AND('Your debts'!$F$14&lt;&gt;"",'Your debts'!$F$12&lt;&gt;"",'Your debts'!$F$14&lt;'Your debts'!$F$12),AV134,0)+IF(AND('Your debts'!$F$15&lt;&gt;"",'Your debts'!$F$12&lt;&gt;"",'Your debts'!$F$15&lt;'Your debts'!$F$12),BA134,0)))))</f>
        <v/>
      </c>
      <c r="AN134" s="33">
        <f>AL134-AM134</f>
        <v/>
      </c>
      <c r="AO134" s="33">
        <f>IF(AS133&lt;=0,0,ROUND(AS133*(1+'Your debts'!$D$13/1200),2))</f>
        <v/>
      </c>
      <c r="AP134" s="33">
        <f>IF(AO134&lt;=0,0,MIN('Your debts'!$E$13,AO134))</f>
        <v/>
      </c>
      <c r="AQ134" s="33">
        <f>AO134-AP134</f>
        <v/>
      </c>
      <c r="AR134" s="33">
        <f>IF('Your debts'!$F$13="",0,MIN(AQ134,MAX(0,MAX(0,'Your debts'!$C$19-(G134+L134+Q134+V134+AA134+AF134+AK134+AP134+AU134+AZ134))-(IF(AND('Your debts'!$F$6&lt;&gt;"",'Your debts'!$F$13&lt;&gt;"",'Your debts'!$F$6&lt;'Your debts'!$F$13),H134,0)+IF(AND('Your debts'!$F$7&lt;&gt;"",'Your debts'!$F$13&lt;&gt;"",'Your debts'!$F$7&lt;'Your debts'!$F$13),M134,0)+IF(AND('Your debts'!$F$8&lt;&gt;"",'Your debts'!$F$13&lt;&gt;"",'Your debts'!$F$8&lt;'Your debts'!$F$13),R134,0)+IF(AND('Your debts'!$F$9&lt;&gt;"",'Your debts'!$F$13&lt;&gt;"",'Your debts'!$F$9&lt;'Your debts'!$F$13),W134,0)+IF(AND('Your debts'!$F$10&lt;&gt;"",'Your debts'!$F$13&lt;&gt;"",'Your debts'!$F$10&lt;'Your debts'!$F$13),AB134,0)+IF(AND('Your debts'!$F$11&lt;&gt;"",'Your debts'!$F$13&lt;&gt;"",'Your debts'!$F$11&lt;'Your debts'!$F$13),AG134,0)+IF(AND('Your debts'!$F$12&lt;&gt;"",'Your debts'!$F$13&lt;&gt;"",'Your debts'!$F$12&lt;'Your debts'!$F$13),AL134,0)+IF(AND('Your debts'!$F$14&lt;&gt;"",'Your debts'!$F$13&lt;&gt;"",'Your debts'!$F$14&lt;'Your debts'!$F$13),AV134,0)+IF(AND('Your debts'!$F$15&lt;&gt;"",'Your debts'!$F$13&lt;&gt;"",'Your debts'!$F$15&lt;'Your debts'!$F$13),BA134,0)))))</f>
        <v/>
      </c>
      <c r="AS134" s="33">
        <f>AQ134-AR134</f>
        <v/>
      </c>
      <c r="AT134" s="33">
        <f>IF(AX133&lt;=0,0,ROUND(AX133*(1+'Your debts'!$D$14/1200),2))</f>
        <v/>
      </c>
      <c r="AU134" s="33">
        <f>IF(AT134&lt;=0,0,MIN('Your debts'!$E$14,AT134))</f>
        <v/>
      </c>
      <c r="AV134" s="33">
        <f>AT134-AU134</f>
        <v/>
      </c>
      <c r="AW134" s="33">
        <f>IF('Your debts'!$F$14="",0,MIN(AV134,MAX(0,MAX(0,'Your debts'!$C$19-(G134+L134+Q134+V134+AA134+AF134+AK134+AP134+AU134+AZ134))-(IF(AND('Your debts'!$F$6&lt;&gt;"",'Your debts'!$F$14&lt;&gt;"",'Your debts'!$F$6&lt;'Your debts'!$F$14),H134,0)+IF(AND('Your debts'!$F$7&lt;&gt;"",'Your debts'!$F$14&lt;&gt;"",'Your debts'!$F$7&lt;'Your debts'!$F$14),M134,0)+IF(AND('Your debts'!$F$8&lt;&gt;"",'Your debts'!$F$14&lt;&gt;"",'Your debts'!$F$8&lt;'Your debts'!$F$14),R134,0)+IF(AND('Your debts'!$F$9&lt;&gt;"",'Your debts'!$F$14&lt;&gt;"",'Your debts'!$F$9&lt;'Your debts'!$F$14),W134,0)+IF(AND('Your debts'!$F$10&lt;&gt;"",'Your debts'!$F$14&lt;&gt;"",'Your debts'!$F$10&lt;'Your debts'!$F$14),AB134,0)+IF(AND('Your debts'!$F$11&lt;&gt;"",'Your debts'!$F$14&lt;&gt;"",'Your debts'!$F$11&lt;'Your debts'!$F$14),AG134,0)+IF(AND('Your debts'!$F$12&lt;&gt;"",'Your debts'!$F$14&lt;&gt;"",'Your debts'!$F$12&lt;'Your debts'!$F$14),AL134,0)+IF(AND('Your debts'!$F$13&lt;&gt;"",'Your debts'!$F$14&lt;&gt;"",'Your debts'!$F$13&lt;'Your debts'!$F$14),AQ134,0)+IF(AND('Your debts'!$F$15&lt;&gt;"",'Your debts'!$F$14&lt;&gt;"",'Your debts'!$F$15&lt;'Your debts'!$F$14),BA134,0)))))</f>
        <v/>
      </c>
      <c r="AX134" s="33">
        <f>AV134-AW134</f>
        <v/>
      </c>
      <c r="AY134" s="33">
        <f>IF(BC133&lt;=0,0,ROUND(BC133*(1+'Your debts'!$D$15/1200),2))</f>
        <v/>
      </c>
      <c r="AZ134" s="33">
        <f>IF(AY134&lt;=0,0,MIN('Your debts'!$E$15,AY134))</f>
        <v/>
      </c>
      <c r="BA134" s="33">
        <f>AY134-AZ134</f>
        <v/>
      </c>
      <c r="BB134" s="33">
        <f>IF('Your debts'!$F$15="",0,MIN(BA134,MAX(0,MAX(0,'Your debts'!$C$19-(G134+L134+Q134+V134+AA134+AF134+AK134+AP134+AU134+AZ134))-(IF(AND('Your debts'!$F$6&lt;&gt;"",'Your debts'!$F$15&lt;&gt;"",'Your debts'!$F$6&lt;'Your debts'!$F$15),H134,0)+IF(AND('Your debts'!$F$7&lt;&gt;"",'Your debts'!$F$15&lt;&gt;"",'Your debts'!$F$7&lt;'Your debts'!$F$15),M134,0)+IF(AND('Your debts'!$F$8&lt;&gt;"",'Your debts'!$F$15&lt;&gt;"",'Your debts'!$F$8&lt;'Your debts'!$F$15),R134,0)+IF(AND('Your debts'!$F$9&lt;&gt;"",'Your debts'!$F$15&lt;&gt;"",'Your debts'!$F$9&lt;'Your debts'!$F$15),W134,0)+IF(AND('Your debts'!$F$10&lt;&gt;"",'Your debts'!$F$15&lt;&gt;"",'Your debts'!$F$10&lt;'Your debts'!$F$15),AB134,0)+IF(AND('Your debts'!$F$11&lt;&gt;"",'Your debts'!$F$15&lt;&gt;"",'Your debts'!$F$11&lt;'Your debts'!$F$15),AG134,0)+IF(AND('Your debts'!$F$12&lt;&gt;"",'Your debts'!$F$15&lt;&gt;"",'Your debts'!$F$12&lt;'Your debts'!$F$15),AL134,0)+IF(AND('Your debts'!$F$13&lt;&gt;"",'Your debts'!$F$15&lt;&gt;"",'Your debts'!$F$13&lt;'Your debts'!$F$15),AQ134,0)+IF(AND('Your debts'!$F$14&lt;&gt;"",'Your debts'!$F$15&lt;&gt;"",'Your debts'!$F$14&lt;'Your debts'!$F$15),AV134,0)))))</f>
        <v/>
      </c>
      <c r="BC134" s="33">
        <f>BA134-BB134</f>
        <v/>
      </c>
    </row>
    <row r="135">
      <c r="A135" s="30" t="n">
        <v>120</v>
      </c>
      <c r="B135" s="31">
        <f>EDATE($B$15,120)</f>
        <v/>
      </c>
      <c r="C135" s="32">
        <f>IF(J134&lt;=0,0,F135-J134)+IF(O134&lt;=0,0,K135-O134)+IF(T134&lt;=0,0,P135-T134)+IF(Y134&lt;=0,0,U135-Y134)+IF(AD134&lt;=0,0,Z135-AD134)+IF(AI134&lt;=0,0,AE135-AI134)+IF(AN134&lt;=0,0,AJ135-AN134)+IF(AS134&lt;=0,0,AO135-AS134)+IF(AX134&lt;=0,0,AT135-AX134)+IF(BC134&lt;=0,0,AY135-BC134)</f>
        <v/>
      </c>
      <c r="D135" s="32">
        <f>G135+I135+L135+N135+Q135+S135+V135+X135+AA135+AC135+AF135+AH135+AK135+AM135+AP135+AR135+AU135+AW135+AZ135+BB135</f>
        <v/>
      </c>
      <c r="E135" s="32">
        <f>J135+O135+T135+Y135+AD135+AI135+AN135+AS135+AX135+BC135</f>
        <v/>
      </c>
      <c r="F135" s="33">
        <f>IF(J134&lt;=0,0,ROUND(J134*(1+'Your debts'!$D$6/1200),2))</f>
        <v/>
      </c>
      <c r="G135" s="33">
        <f>IF(F135&lt;=0,0,MIN('Your debts'!$E$6,F135))</f>
        <v/>
      </c>
      <c r="H135" s="33">
        <f>F135-G135</f>
        <v/>
      </c>
      <c r="I135" s="33">
        <f>IF('Your debts'!$F$6="",0,MIN(H135,MAX(0,MAX(0,'Your debts'!$C$19-(G135+L135+Q135+V135+AA135+AF135+AK135+AP135+AU135+AZ135))-(IF(AND('Your debts'!$F$7&lt;&gt;"",'Your debts'!$F$6&lt;&gt;"",'Your debts'!$F$7&lt;'Your debts'!$F$6),M135,0)+IF(AND('Your debts'!$F$8&lt;&gt;"",'Your debts'!$F$6&lt;&gt;"",'Your debts'!$F$8&lt;'Your debts'!$F$6),R135,0)+IF(AND('Your debts'!$F$9&lt;&gt;"",'Your debts'!$F$6&lt;&gt;"",'Your debts'!$F$9&lt;'Your debts'!$F$6),W135,0)+IF(AND('Your debts'!$F$10&lt;&gt;"",'Your debts'!$F$6&lt;&gt;"",'Your debts'!$F$10&lt;'Your debts'!$F$6),AB135,0)+IF(AND('Your debts'!$F$11&lt;&gt;"",'Your debts'!$F$6&lt;&gt;"",'Your debts'!$F$11&lt;'Your debts'!$F$6),AG135,0)+IF(AND('Your debts'!$F$12&lt;&gt;"",'Your debts'!$F$6&lt;&gt;"",'Your debts'!$F$12&lt;'Your debts'!$F$6),AL135,0)+IF(AND('Your debts'!$F$13&lt;&gt;"",'Your debts'!$F$6&lt;&gt;"",'Your debts'!$F$13&lt;'Your debts'!$F$6),AQ135,0)+IF(AND('Your debts'!$F$14&lt;&gt;"",'Your debts'!$F$6&lt;&gt;"",'Your debts'!$F$14&lt;'Your debts'!$F$6),AV135,0)+IF(AND('Your debts'!$F$15&lt;&gt;"",'Your debts'!$F$6&lt;&gt;"",'Your debts'!$F$15&lt;'Your debts'!$F$6),BA135,0)))))</f>
        <v/>
      </c>
      <c r="J135" s="33">
        <f>H135-I135</f>
        <v/>
      </c>
      <c r="K135" s="33">
        <f>IF(O134&lt;=0,0,ROUND(O134*(1+'Your debts'!$D$7/1200),2))</f>
        <v/>
      </c>
      <c r="L135" s="33">
        <f>IF(K135&lt;=0,0,MIN('Your debts'!$E$7,K135))</f>
        <v/>
      </c>
      <c r="M135" s="33">
        <f>K135-L135</f>
        <v/>
      </c>
      <c r="N135" s="33">
        <f>IF('Your debts'!$F$7="",0,MIN(M135,MAX(0,MAX(0,'Your debts'!$C$19-(G135+L135+Q135+V135+AA135+AF135+AK135+AP135+AU135+AZ135))-(IF(AND('Your debts'!$F$6&lt;&gt;"",'Your debts'!$F$7&lt;&gt;"",'Your debts'!$F$6&lt;'Your debts'!$F$7),H135,0)+IF(AND('Your debts'!$F$8&lt;&gt;"",'Your debts'!$F$7&lt;&gt;"",'Your debts'!$F$8&lt;'Your debts'!$F$7),R135,0)+IF(AND('Your debts'!$F$9&lt;&gt;"",'Your debts'!$F$7&lt;&gt;"",'Your debts'!$F$9&lt;'Your debts'!$F$7),W135,0)+IF(AND('Your debts'!$F$10&lt;&gt;"",'Your debts'!$F$7&lt;&gt;"",'Your debts'!$F$10&lt;'Your debts'!$F$7),AB135,0)+IF(AND('Your debts'!$F$11&lt;&gt;"",'Your debts'!$F$7&lt;&gt;"",'Your debts'!$F$11&lt;'Your debts'!$F$7),AG135,0)+IF(AND('Your debts'!$F$12&lt;&gt;"",'Your debts'!$F$7&lt;&gt;"",'Your debts'!$F$12&lt;'Your debts'!$F$7),AL135,0)+IF(AND('Your debts'!$F$13&lt;&gt;"",'Your debts'!$F$7&lt;&gt;"",'Your debts'!$F$13&lt;'Your debts'!$F$7),AQ135,0)+IF(AND('Your debts'!$F$14&lt;&gt;"",'Your debts'!$F$7&lt;&gt;"",'Your debts'!$F$14&lt;'Your debts'!$F$7),AV135,0)+IF(AND('Your debts'!$F$15&lt;&gt;"",'Your debts'!$F$7&lt;&gt;"",'Your debts'!$F$15&lt;'Your debts'!$F$7),BA135,0)))))</f>
        <v/>
      </c>
      <c r="O135" s="33">
        <f>M135-N135</f>
        <v/>
      </c>
      <c r="P135" s="33">
        <f>IF(T134&lt;=0,0,ROUND(T134*(1+'Your debts'!$D$8/1200),2))</f>
        <v/>
      </c>
      <c r="Q135" s="33">
        <f>IF(P135&lt;=0,0,MIN('Your debts'!$E$8,P135))</f>
        <v/>
      </c>
      <c r="R135" s="33">
        <f>P135-Q135</f>
        <v/>
      </c>
      <c r="S135" s="33">
        <f>IF('Your debts'!$F$8="",0,MIN(R135,MAX(0,MAX(0,'Your debts'!$C$19-(G135+L135+Q135+V135+AA135+AF135+AK135+AP135+AU135+AZ135))-(IF(AND('Your debts'!$F$6&lt;&gt;"",'Your debts'!$F$8&lt;&gt;"",'Your debts'!$F$6&lt;'Your debts'!$F$8),H135,0)+IF(AND('Your debts'!$F$7&lt;&gt;"",'Your debts'!$F$8&lt;&gt;"",'Your debts'!$F$7&lt;'Your debts'!$F$8),M135,0)+IF(AND('Your debts'!$F$9&lt;&gt;"",'Your debts'!$F$8&lt;&gt;"",'Your debts'!$F$9&lt;'Your debts'!$F$8),W135,0)+IF(AND('Your debts'!$F$10&lt;&gt;"",'Your debts'!$F$8&lt;&gt;"",'Your debts'!$F$10&lt;'Your debts'!$F$8),AB135,0)+IF(AND('Your debts'!$F$11&lt;&gt;"",'Your debts'!$F$8&lt;&gt;"",'Your debts'!$F$11&lt;'Your debts'!$F$8),AG135,0)+IF(AND('Your debts'!$F$12&lt;&gt;"",'Your debts'!$F$8&lt;&gt;"",'Your debts'!$F$12&lt;'Your debts'!$F$8),AL135,0)+IF(AND('Your debts'!$F$13&lt;&gt;"",'Your debts'!$F$8&lt;&gt;"",'Your debts'!$F$13&lt;'Your debts'!$F$8),AQ135,0)+IF(AND('Your debts'!$F$14&lt;&gt;"",'Your debts'!$F$8&lt;&gt;"",'Your debts'!$F$14&lt;'Your debts'!$F$8),AV135,0)+IF(AND('Your debts'!$F$15&lt;&gt;"",'Your debts'!$F$8&lt;&gt;"",'Your debts'!$F$15&lt;'Your debts'!$F$8),BA135,0)))))</f>
        <v/>
      </c>
      <c r="T135" s="33">
        <f>R135-S135</f>
        <v/>
      </c>
      <c r="U135" s="33">
        <f>IF(Y134&lt;=0,0,ROUND(Y134*(1+'Your debts'!$D$9/1200),2))</f>
        <v/>
      </c>
      <c r="V135" s="33">
        <f>IF(U135&lt;=0,0,MIN('Your debts'!$E$9,U135))</f>
        <v/>
      </c>
      <c r="W135" s="33">
        <f>U135-V135</f>
        <v/>
      </c>
      <c r="X135" s="33">
        <f>IF('Your debts'!$F$9="",0,MIN(W135,MAX(0,MAX(0,'Your debts'!$C$19-(G135+L135+Q135+V135+AA135+AF135+AK135+AP135+AU135+AZ135))-(IF(AND('Your debts'!$F$6&lt;&gt;"",'Your debts'!$F$9&lt;&gt;"",'Your debts'!$F$6&lt;'Your debts'!$F$9),H135,0)+IF(AND('Your debts'!$F$7&lt;&gt;"",'Your debts'!$F$9&lt;&gt;"",'Your debts'!$F$7&lt;'Your debts'!$F$9),M135,0)+IF(AND('Your debts'!$F$8&lt;&gt;"",'Your debts'!$F$9&lt;&gt;"",'Your debts'!$F$8&lt;'Your debts'!$F$9),R135,0)+IF(AND('Your debts'!$F$10&lt;&gt;"",'Your debts'!$F$9&lt;&gt;"",'Your debts'!$F$10&lt;'Your debts'!$F$9),AB135,0)+IF(AND('Your debts'!$F$11&lt;&gt;"",'Your debts'!$F$9&lt;&gt;"",'Your debts'!$F$11&lt;'Your debts'!$F$9),AG135,0)+IF(AND('Your debts'!$F$12&lt;&gt;"",'Your debts'!$F$9&lt;&gt;"",'Your debts'!$F$12&lt;'Your debts'!$F$9),AL135,0)+IF(AND('Your debts'!$F$13&lt;&gt;"",'Your debts'!$F$9&lt;&gt;"",'Your debts'!$F$13&lt;'Your debts'!$F$9),AQ135,0)+IF(AND('Your debts'!$F$14&lt;&gt;"",'Your debts'!$F$9&lt;&gt;"",'Your debts'!$F$14&lt;'Your debts'!$F$9),AV135,0)+IF(AND('Your debts'!$F$15&lt;&gt;"",'Your debts'!$F$9&lt;&gt;"",'Your debts'!$F$15&lt;'Your debts'!$F$9),BA135,0)))))</f>
        <v/>
      </c>
      <c r="Y135" s="33">
        <f>W135-X135</f>
        <v/>
      </c>
      <c r="Z135" s="33">
        <f>IF(AD134&lt;=0,0,ROUND(AD134*(1+'Your debts'!$D$10/1200),2))</f>
        <v/>
      </c>
      <c r="AA135" s="33">
        <f>IF(Z135&lt;=0,0,MIN('Your debts'!$E$10,Z135))</f>
        <v/>
      </c>
      <c r="AB135" s="33">
        <f>Z135-AA135</f>
        <v/>
      </c>
      <c r="AC135" s="33">
        <f>IF('Your debts'!$F$10="",0,MIN(AB135,MAX(0,MAX(0,'Your debts'!$C$19-(G135+L135+Q135+V135+AA135+AF135+AK135+AP135+AU135+AZ135))-(IF(AND('Your debts'!$F$6&lt;&gt;"",'Your debts'!$F$10&lt;&gt;"",'Your debts'!$F$6&lt;'Your debts'!$F$10),H135,0)+IF(AND('Your debts'!$F$7&lt;&gt;"",'Your debts'!$F$10&lt;&gt;"",'Your debts'!$F$7&lt;'Your debts'!$F$10),M135,0)+IF(AND('Your debts'!$F$8&lt;&gt;"",'Your debts'!$F$10&lt;&gt;"",'Your debts'!$F$8&lt;'Your debts'!$F$10),R135,0)+IF(AND('Your debts'!$F$9&lt;&gt;"",'Your debts'!$F$10&lt;&gt;"",'Your debts'!$F$9&lt;'Your debts'!$F$10),W135,0)+IF(AND('Your debts'!$F$11&lt;&gt;"",'Your debts'!$F$10&lt;&gt;"",'Your debts'!$F$11&lt;'Your debts'!$F$10),AG135,0)+IF(AND('Your debts'!$F$12&lt;&gt;"",'Your debts'!$F$10&lt;&gt;"",'Your debts'!$F$12&lt;'Your debts'!$F$10),AL135,0)+IF(AND('Your debts'!$F$13&lt;&gt;"",'Your debts'!$F$10&lt;&gt;"",'Your debts'!$F$13&lt;'Your debts'!$F$10),AQ135,0)+IF(AND('Your debts'!$F$14&lt;&gt;"",'Your debts'!$F$10&lt;&gt;"",'Your debts'!$F$14&lt;'Your debts'!$F$10),AV135,0)+IF(AND('Your debts'!$F$15&lt;&gt;"",'Your debts'!$F$10&lt;&gt;"",'Your debts'!$F$15&lt;'Your debts'!$F$10),BA135,0)))))</f>
        <v/>
      </c>
      <c r="AD135" s="33">
        <f>AB135-AC135</f>
        <v/>
      </c>
      <c r="AE135" s="33">
        <f>IF(AI134&lt;=0,0,ROUND(AI134*(1+'Your debts'!$D$11/1200),2))</f>
        <v/>
      </c>
      <c r="AF135" s="33">
        <f>IF(AE135&lt;=0,0,MIN('Your debts'!$E$11,AE135))</f>
        <v/>
      </c>
      <c r="AG135" s="33">
        <f>AE135-AF135</f>
        <v/>
      </c>
      <c r="AH135" s="33">
        <f>IF('Your debts'!$F$11="",0,MIN(AG135,MAX(0,MAX(0,'Your debts'!$C$19-(G135+L135+Q135+V135+AA135+AF135+AK135+AP135+AU135+AZ135))-(IF(AND('Your debts'!$F$6&lt;&gt;"",'Your debts'!$F$11&lt;&gt;"",'Your debts'!$F$6&lt;'Your debts'!$F$11),H135,0)+IF(AND('Your debts'!$F$7&lt;&gt;"",'Your debts'!$F$11&lt;&gt;"",'Your debts'!$F$7&lt;'Your debts'!$F$11),M135,0)+IF(AND('Your debts'!$F$8&lt;&gt;"",'Your debts'!$F$11&lt;&gt;"",'Your debts'!$F$8&lt;'Your debts'!$F$11),R135,0)+IF(AND('Your debts'!$F$9&lt;&gt;"",'Your debts'!$F$11&lt;&gt;"",'Your debts'!$F$9&lt;'Your debts'!$F$11),W135,0)+IF(AND('Your debts'!$F$10&lt;&gt;"",'Your debts'!$F$11&lt;&gt;"",'Your debts'!$F$10&lt;'Your debts'!$F$11),AB135,0)+IF(AND('Your debts'!$F$12&lt;&gt;"",'Your debts'!$F$11&lt;&gt;"",'Your debts'!$F$12&lt;'Your debts'!$F$11),AL135,0)+IF(AND('Your debts'!$F$13&lt;&gt;"",'Your debts'!$F$11&lt;&gt;"",'Your debts'!$F$13&lt;'Your debts'!$F$11),AQ135,0)+IF(AND('Your debts'!$F$14&lt;&gt;"",'Your debts'!$F$11&lt;&gt;"",'Your debts'!$F$14&lt;'Your debts'!$F$11),AV135,0)+IF(AND('Your debts'!$F$15&lt;&gt;"",'Your debts'!$F$11&lt;&gt;"",'Your debts'!$F$15&lt;'Your debts'!$F$11),BA135,0)))))</f>
        <v/>
      </c>
      <c r="AI135" s="33">
        <f>AG135-AH135</f>
        <v/>
      </c>
      <c r="AJ135" s="33">
        <f>IF(AN134&lt;=0,0,ROUND(AN134*(1+'Your debts'!$D$12/1200),2))</f>
        <v/>
      </c>
      <c r="AK135" s="33">
        <f>IF(AJ135&lt;=0,0,MIN('Your debts'!$E$12,AJ135))</f>
        <v/>
      </c>
      <c r="AL135" s="33">
        <f>AJ135-AK135</f>
        <v/>
      </c>
      <c r="AM135" s="33">
        <f>IF('Your debts'!$F$12="",0,MIN(AL135,MAX(0,MAX(0,'Your debts'!$C$19-(G135+L135+Q135+V135+AA135+AF135+AK135+AP135+AU135+AZ135))-(IF(AND('Your debts'!$F$6&lt;&gt;"",'Your debts'!$F$12&lt;&gt;"",'Your debts'!$F$6&lt;'Your debts'!$F$12),H135,0)+IF(AND('Your debts'!$F$7&lt;&gt;"",'Your debts'!$F$12&lt;&gt;"",'Your debts'!$F$7&lt;'Your debts'!$F$12),M135,0)+IF(AND('Your debts'!$F$8&lt;&gt;"",'Your debts'!$F$12&lt;&gt;"",'Your debts'!$F$8&lt;'Your debts'!$F$12),R135,0)+IF(AND('Your debts'!$F$9&lt;&gt;"",'Your debts'!$F$12&lt;&gt;"",'Your debts'!$F$9&lt;'Your debts'!$F$12),W135,0)+IF(AND('Your debts'!$F$10&lt;&gt;"",'Your debts'!$F$12&lt;&gt;"",'Your debts'!$F$10&lt;'Your debts'!$F$12),AB135,0)+IF(AND('Your debts'!$F$11&lt;&gt;"",'Your debts'!$F$12&lt;&gt;"",'Your debts'!$F$11&lt;'Your debts'!$F$12),AG135,0)+IF(AND('Your debts'!$F$13&lt;&gt;"",'Your debts'!$F$12&lt;&gt;"",'Your debts'!$F$13&lt;'Your debts'!$F$12),AQ135,0)+IF(AND('Your debts'!$F$14&lt;&gt;"",'Your debts'!$F$12&lt;&gt;"",'Your debts'!$F$14&lt;'Your debts'!$F$12),AV135,0)+IF(AND('Your debts'!$F$15&lt;&gt;"",'Your debts'!$F$12&lt;&gt;"",'Your debts'!$F$15&lt;'Your debts'!$F$12),BA135,0)))))</f>
        <v/>
      </c>
      <c r="AN135" s="33">
        <f>AL135-AM135</f>
        <v/>
      </c>
      <c r="AO135" s="33">
        <f>IF(AS134&lt;=0,0,ROUND(AS134*(1+'Your debts'!$D$13/1200),2))</f>
        <v/>
      </c>
      <c r="AP135" s="33">
        <f>IF(AO135&lt;=0,0,MIN('Your debts'!$E$13,AO135))</f>
        <v/>
      </c>
      <c r="AQ135" s="33">
        <f>AO135-AP135</f>
        <v/>
      </c>
      <c r="AR135" s="33">
        <f>IF('Your debts'!$F$13="",0,MIN(AQ135,MAX(0,MAX(0,'Your debts'!$C$19-(G135+L135+Q135+V135+AA135+AF135+AK135+AP135+AU135+AZ135))-(IF(AND('Your debts'!$F$6&lt;&gt;"",'Your debts'!$F$13&lt;&gt;"",'Your debts'!$F$6&lt;'Your debts'!$F$13),H135,0)+IF(AND('Your debts'!$F$7&lt;&gt;"",'Your debts'!$F$13&lt;&gt;"",'Your debts'!$F$7&lt;'Your debts'!$F$13),M135,0)+IF(AND('Your debts'!$F$8&lt;&gt;"",'Your debts'!$F$13&lt;&gt;"",'Your debts'!$F$8&lt;'Your debts'!$F$13),R135,0)+IF(AND('Your debts'!$F$9&lt;&gt;"",'Your debts'!$F$13&lt;&gt;"",'Your debts'!$F$9&lt;'Your debts'!$F$13),W135,0)+IF(AND('Your debts'!$F$10&lt;&gt;"",'Your debts'!$F$13&lt;&gt;"",'Your debts'!$F$10&lt;'Your debts'!$F$13),AB135,0)+IF(AND('Your debts'!$F$11&lt;&gt;"",'Your debts'!$F$13&lt;&gt;"",'Your debts'!$F$11&lt;'Your debts'!$F$13),AG135,0)+IF(AND('Your debts'!$F$12&lt;&gt;"",'Your debts'!$F$13&lt;&gt;"",'Your debts'!$F$12&lt;'Your debts'!$F$13),AL135,0)+IF(AND('Your debts'!$F$14&lt;&gt;"",'Your debts'!$F$13&lt;&gt;"",'Your debts'!$F$14&lt;'Your debts'!$F$13),AV135,0)+IF(AND('Your debts'!$F$15&lt;&gt;"",'Your debts'!$F$13&lt;&gt;"",'Your debts'!$F$15&lt;'Your debts'!$F$13),BA135,0)))))</f>
        <v/>
      </c>
      <c r="AS135" s="33">
        <f>AQ135-AR135</f>
        <v/>
      </c>
      <c r="AT135" s="33">
        <f>IF(AX134&lt;=0,0,ROUND(AX134*(1+'Your debts'!$D$14/1200),2))</f>
        <v/>
      </c>
      <c r="AU135" s="33">
        <f>IF(AT135&lt;=0,0,MIN('Your debts'!$E$14,AT135))</f>
        <v/>
      </c>
      <c r="AV135" s="33">
        <f>AT135-AU135</f>
        <v/>
      </c>
      <c r="AW135" s="33">
        <f>IF('Your debts'!$F$14="",0,MIN(AV135,MAX(0,MAX(0,'Your debts'!$C$19-(G135+L135+Q135+V135+AA135+AF135+AK135+AP135+AU135+AZ135))-(IF(AND('Your debts'!$F$6&lt;&gt;"",'Your debts'!$F$14&lt;&gt;"",'Your debts'!$F$6&lt;'Your debts'!$F$14),H135,0)+IF(AND('Your debts'!$F$7&lt;&gt;"",'Your debts'!$F$14&lt;&gt;"",'Your debts'!$F$7&lt;'Your debts'!$F$14),M135,0)+IF(AND('Your debts'!$F$8&lt;&gt;"",'Your debts'!$F$14&lt;&gt;"",'Your debts'!$F$8&lt;'Your debts'!$F$14),R135,0)+IF(AND('Your debts'!$F$9&lt;&gt;"",'Your debts'!$F$14&lt;&gt;"",'Your debts'!$F$9&lt;'Your debts'!$F$14),W135,0)+IF(AND('Your debts'!$F$10&lt;&gt;"",'Your debts'!$F$14&lt;&gt;"",'Your debts'!$F$10&lt;'Your debts'!$F$14),AB135,0)+IF(AND('Your debts'!$F$11&lt;&gt;"",'Your debts'!$F$14&lt;&gt;"",'Your debts'!$F$11&lt;'Your debts'!$F$14),AG135,0)+IF(AND('Your debts'!$F$12&lt;&gt;"",'Your debts'!$F$14&lt;&gt;"",'Your debts'!$F$12&lt;'Your debts'!$F$14),AL135,0)+IF(AND('Your debts'!$F$13&lt;&gt;"",'Your debts'!$F$14&lt;&gt;"",'Your debts'!$F$13&lt;'Your debts'!$F$14),AQ135,0)+IF(AND('Your debts'!$F$15&lt;&gt;"",'Your debts'!$F$14&lt;&gt;"",'Your debts'!$F$15&lt;'Your debts'!$F$14),BA135,0)))))</f>
        <v/>
      </c>
      <c r="AX135" s="33">
        <f>AV135-AW135</f>
        <v/>
      </c>
      <c r="AY135" s="33">
        <f>IF(BC134&lt;=0,0,ROUND(BC134*(1+'Your debts'!$D$15/1200),2))</f>
        <v/>
      </c>
      <c r="AZ135" s="33">
        <f>IF(AY135&lt;=0,0,MIN('Your debts'!$E$15,AY135))</f>
        <v/>
      </c>
      <c r="BA135" s="33">
        <f>AY135-AZ135</f>
        <v/>
      </c>
      <c r="BB135" s="33">
        <f>IF('Your debts'!$F$15="",0,MIN(BA135,MAX(0,MAX(0,'Your debts'!$C$19-(G135+L135+Q135+V135+AA135+AF135+AK135+AP135+AU135+AZ135))-(IF(AND('Your debts'!$F$6&lt;&gt;"",'Your debts'!$F$15&lt;&gt;"",'Your debts'!$F$6&lt;'Your debts'!$F$15),H135,0)+IF(AND('Your debts'!$F$7&lt;&gt;"",'Your debts'!$F$15&lt;&gt;"",'Your debts'!$F$7&lt;'Your debts'!$F$15),M135,0)+IF(AND('Your debts'!$F$8&lt;&gt;"",'Your debts'!$F$15&lt;&gt;"",'Your debts'!$F$8&lt;'Your debts'!$F$15),R135,0)+IF(AND('Your debts'!$F$9&lt;&gt;"",'Your debts'!$F$15&lt;&gt;"",'Your debts'!$F$9&lt;'Your debts'!$F$15),W135,0)+IF(AND('Your debts'!$F$10&lt;&gt;"",'Your debts'!$F$15&lt;&gt;"",'Your debts'!$F$10&lt;'Your debts'!$F$15),AB135,0)+IF(AND('Your debts'!$F$11&lt;&gt;"",'Your debts'!$F$15&lt;&gt;"",'Your debts'!$F$11&lt;'Your debts'!$F$15),AG135,0)+IF(AND('Your debts'!$F$12&lt;&gt;"",'Your debts'!$F$15&lt;&gt;"",'Your debts'!$F$12&lt;'Your debts'!$F$15),AL135,0)+IF(AND('Your debts'!$F$13&lt;&gt;"",'Your debts'!$F$15&lt;&gt;"",'Your debts'!$F$13&lt;'Your debts'!$F$15),AQ135,0)+IF(AND('Your debts'!$F$14&lt;&gt;"",'Your debts'!$F$15&lt;&gt;"",'Your debts'!$F$14&lt;'Your debts'!$F$15),AV135,0)))))</f>
        <v/>
      </c>
      <c r="BC135" s="33">
        <f>BA135-BB135</f>
        <v/>
      </c>
    </row>
    <row r="136">
      <c r="A136" s="30" t="n">
        <v>121</v>
      </c>
      <c r="B136" s="31">
        <f>EDATE($B$15,121)</f>
        <v/>
      </c>
      <c r="C136" s="32">
        <f>IF(J135&lt;=0,0,F136-J135)+IF(O135&lt;=0,0,K136-O135)+IF(T135&lt;=0,0,P136-T135)+IF(Y135&lt;=0,0,U136-Y135)+IF(AD135&lt;=0,0,Z136-AD135)+IF(AI135&lt;=0,0,AE136-AI135)+IF(AN135&lt;=0,0,AJ136-AN135)+IF(AS135&lt;=0,0,AO136-AS135)+IF(AX135&lt;=0,0,AT136-AX135)+IF(BC135&lt;=0,0,AY136-BC135)</f>
        <v/>
      </c>
      <c r="D136" s="32">
        <f>G136+I136+L136+N136+Q136+S136+V136+X136+AA136+AC136+AF136+AH136+AK136+AM136+AP136+AR136+AU136+AW136+AZ136+BB136</f>
        <v/>
      </c>
      <c r="E136" s="32">
        <f>J136+O136+T136+Y136+AD136+AI136+AN136+AS136+AX136+BC136</f>
        <v/>
      </c>
      <c r="F136" s="33">
        <f>IF(J135&lt;=0,0,ROUND(J135*(1+'Your debts'!$D$6/1200),2))</f>
        <v/>
      </c>
      <c r="G136" s="33">
        <f>IF(F136&lt;=0,0,MIN('Your debts'!$E$6,F136))</f>
        <v/>
      </c>
      <c r="H136" s="33">
        <f>F136-G136</f>
        <v/>
      </c>
      <c r="I136" s="33">
        <f>IF('Your debts'!$F$6="",0,MIN(H136,MAX(0,MAX(0,'Your debts'!$C$19-(G136+L136+Q136+V136+AA136+AF136+AK136+AP136+AU136+AZ136))-(IF(AND('Your debts'!$F$7&lt;&gt;"",'Your debts'!$F$6&lt;&gt;"",'Your debts'!$F$7&lt;'Your debts'!$F$6),M136,0)+IF(AND('Your debts'!$F$8&lt;&gt;"",'Your debts'!$F$6&lt;&gt;"",'Your debts'!$F$8&lt;'Your debts'!$F$6),R136,0)+IF(AND('Your debts'!$F$9&lt;&gt;"",'Your debts'!$F$6&lt;&gt;"",'Your debts'!$F$9&lt;'Your debts'!$F$6),W136,0)+IF(AND('Your debts'!$F$10&lt;&gt;"",'Your debts'!$F$6&lt;&gt;"",'Your debts'!$F$10&lt;'Your debts'!$F$6),AB136,0)+IF(AND('Your debts'!$F$11&lt;&gt;"",'Your debts'!$F$6&lt;&gt;"",'Your debts'!$F$11&lt;'Your debts'!$F$6),AG136,0)+IF(AND('Your debts'!$F$12&lt;&gt;"",'Your debts'!$F$6&lt;&gt;"",'Your debts'!$F$12&lt;'Your debts'!$F$6),AL136,0)+IF(AND('Your debts'!$F$13&lt;&gt;"",'Your debts'!$F$6&lt;&gt;"",'Your debts'!$F$13&lt;'Your debts'!$F$6),AQ136,0)+IF(AND('Your debts'!$F$14&lt;&gt;"",'Your debts'!$F$6&lt;&gt;"",'Your debts'!$F$14&lt;'Your debts'!$F$6),AV136,0)+IF(AND('Your debts'!$F$15&lt;&gt;"",'Your debts'!$F$6&lt;&gt;"",'Your debts'!$F$15&lt;'Your debts'!$F$6),BA136,0)))))</f>
        <v/>
      </c>
      <c r="J136" s="33">
        <f>H136-I136</f>
        <v/>
      </c>
      <c r="K136" s="33">
        <f>IF(O135&lt;=0,0,ROUND(O135*(1+'Your debts'!$D$7/1200),2))</f>
        <v/>
      </c>
      <c r="L136" s="33">
        <f>IF(K136&lt;=0,0,MIN('Your debts'!$E$7,K136))</f>
        <v/>
      </c>
      <c r="M136" s="33">
        <f>K136-L136</f>
        <v/>
      </c>
      <c r="N136" s="33">
        <f>IF('Your debts'!$F$7="",0,MIN(M136,MAX(0,MAX(0,'Your debts'!$C$19-(G136+L136+Q136+V136+AA136+AF136+AK136+AP136+AU136+AZ136))-(IF(AND('Your debts'!$F$6&lt;&gt;"",'Your debts'!$F$7&lt;&gt;"",'Your debts'!$F$6&lt;'Your debts'!$F$7),H136,0)+IF(AND('Your debts'!$F$8&lt;&gt;"",'Your debts'!$F$7&lt;&gt;"",'Your debts'!$F$8&lt;'Your debts'!$F$7),R136,0)+IF(AND('Your debts'!$F$9&lt;&gt;"",'Your debts'!$F$7&lt;&gt;"",'Your debts'!$F$9&lt;'Your debts'!$F$7),W136,0)+IF(AND('Your debts'!$F$10&lt;&gt;"",'Your debts'!$F$7&lt;&gt;"",'Your debts'!$F$10&lt;'Your debts'!$F$7),AB136,0)+IF(AND('Your debts'!$F$11&lt;&gt;"",'Your debts'!$F$7&lt;&gt;"",'Your debts'!$F$11&lt;'Your debts'!$F$7),AG136,0)+IF(AND('Your debts'!$F$12&lt;&gt;"",'Your debts'!$F$7&lt;&gt;"",'Your debts'!$F$12&lt;'Your debts'!$F$7),AL136,0)+IF(AND('Your debts'!$F$13&lt;&gt;"",'Your debts'!$F$7&lt;&gt;"",'Your debts'!$F$13&lt;'Your debts'!$F$7),AQ136,0)+IF(AND('Your debts'!$F$14&lt;&gt;"",'Your debts'!$F$7&lt;&gt;"",'Your debts'!$F$14&lt;'Your debts'!$F$7),AV136,0)+IF(AND('Your debts'!$F$15&lt;&gt;"",'Your debts'!$F$7&lt;&gt;"",'Your debts'!$F$15&lt;'Your debts'!$F$7),BA136,0)))))</f>
        <v/>
      </c>
      <c r="O136" s="33">
        <f>M136-N136</f>
        <v/>
      </c>
      <c r="P136" s="33">
        <f>IF(T135&lt;=0,0,ROUND(T135*(1+'Your debts'!$D$8/1200),2))</f>
        <v/>
      </c>
      <c r="Q136" s="33">
        <f>IF(P136&lt;=0,0,MIN('Your debts'!$E$8,P136))</f>
        <v/>
      </c>
      <c r="R136" s="33">
        <f>P136-Q136</f>
        <v/>
      </c>
      <c r="S136" s="33">
        <f>IF('Your debts'!$F$8="",0,MIN(R136,MAX(0,MAX(0,'Your debts'!$C$19-(G136+L136+Q136+V136+AA136+AF136+AK136+AP136+AU136+AZ136))-(IF(AND('Your debts'!$F$6&lt;&gt;"",'Your debts'!$F$8&lt;&gt;"",'Your debts'!$F$6&lt;'Your debts'!$F$8),H136,0)+IF(AND('Your debts'!$F$7&lt;&gt;"",'Your debts'!$F$8&lt;&gt;"",'Your debts'!$F$7&lt;'Your debts'!$F$8),M136,0)+IF(AND('Your debts'!$F$9&lt;&gt;"",'Your debts'!$F$8&lt;&gt;"",'Your debts'!$F$9&lt;'Your debts'!$F$8),W136,0)+IF(AND('Your debts'!$F$10&lt;&gt;"",'Your debts'!$F$8&lt;&gt;"",'Your debts'!$F$10&lt;'Your debts'!$F$8),AB136,0)+IF(AND('Your debts'!$F$11&lt;&gt;"",'Your debts'!$F$8&lt;&gt;"",'Your debts'!$F$11&lt;'Your debts'!$F$8),AG136,0)+IF(AND('Your debts'!$F$12&lt;&gt;"",'Your debts'!$F$8&lt;&gt;"",'Your debts'!$F$12&lt;'Your debts'!$F$8),AL136,0)+IF(AND('Your debts'!$F$13&lt;&gt;"",'Your debts'!$F$8&lt;&gt;"",'Your debts'!$F$13&lt;'Your debts'!$F$8),AQ136,0)+IF(AND('Your debts'!$F$14&lt;&gt;"",'Your debts'!$F$8&lt;&gt;"",'Your debts'!$F$14&lt;'Your debts'!$F$8),AV136,0)+IF(AND('Your debts'!$F$15&lt;&gt;"",'Your debts'!$F$8&lt;&gt;"",'Your debts'!$F$15&lt;'Your debts'!$F$8),BA136,0)))))</f>
        <v/>
      </c>
      <c r="T136" s="33">
        <f>R136-S136</f>
        <v/>
      </c>
      <c r="U136" s="33">
        <f>IF(Y135&lt;=0,0,ROUND(Y135*(1+'Your debts'!$D$9/1200),2))</f>
        <v/>
      </c>
      <c r="V136" s="33">
        <f>IF(U136&lt;=0,0,MIN('Your debts'!$E$9,U136))</f>
        <v/>
      </c>
      <c r="W136" s="33">
        <f>U136-V136</f>
        <v/>
      </c>
      <c r="X136" s="33">
        <f>IF('Your debts'!$F$9="",0,MIN(W136,MAX(0,MAX(0,'Your debts'!$C$19-(G136+L136+Q136+V136+AA136+AF136+AK136+AP136+AU136+AZ136))-(IF(AND('Your debts'!$F$6&lt;&gt;"",'Your debts'!$F$9&lt;&gt;"",'Your debts'!$F$6&lt;'Your debts'!$F$9),H136,0)+IF(AND('Your debts'!$F$7&lt;&gt;"",'Your debts'!$F$9&lt;&gt;"",'Your debts'!$F$7&lt;'Your debts'!$F$9),M136,0)+IF(AND('Your debts'!$F$8&lt;&gt;"",'Your debts'!$F$9&lt;&gt;"",'Your debts'!$F$8&lt;'Your debts'!$F$9),R136,0)+IF(AND('Your debts'!$F$10&lt;&gt;"",'Your debts'!$F$9&lt;&gt;"",'Your debts'!$F$10&lt;'Your debts'!$F$9),AB136,0)+IF(AND('Your debts'!$F$11&lt;&gt;"",'Your debts'!$F$9&lt;&gt;"",'Your debts'!$F$11&lt;'Your debts'!$F$9),AG136,0)+IF(AND('Your debts'!$F$12&lt;&gt;"",'Your debts'!$F$9&lt;&gt;"",'Your debts'!$F$12&lt;'Your debts'!$F$9),AL136,0)+IF(AND('Your debts'!$F$13&lt;&gt;"",'Your debts'!$F$9&lt;&gt;"",'Your debts'!$F$13&lt;'Your debts'!$F$9),AQ136,0)+IF(AND('Your debts'!$F$14&lt;&gt;"",'Your debts'!$F$9&lt;&gt;"",'Your debts'!$F$14&lt;'Your debts'!$F$9),AV136,0)+IF(AND('Your debts'!$F$15&lt;&gt;"",'Your debts'!$F$9&lt;&gt;"",'Your debts'!$F$15&lt;'Your debts'!$F$9),BA136,0)))))</f>
        <v/>
      </c>
      <c r="Y136" s="33">
        <f>W136-X136</f>
        <v/>
      </c>
      <c r="Z136" s="33">
        <f>IF(AD135&lt;=0,0,ROUND(AD135*(1+'Your debts'!$D$10/1200),2))</f>
        <v/>
      </c>
      <c r="AA136" s="33">
        <f>IF(Z136&lt;=0,0,MIN('Your debts'!$E$10,Z136))</f>
        <v/>
      </c>
      <c r="AB136" s="33">
        <f>Z136-AA136</f>
        <v/>
      </c>
      <c r="AC136" s="33">
        <f>IF('Your debts'!$F$10="",0,MIN(AB136,MAX(0,MAX(0,'Your debts'!$C$19-(G136+L136+Q136+V136+AA136+AF136+AK136+AP136+AU136+AZ136))-(IF(AND('Your debts'!$F$6&lt;&gt;"",'Your debts'!$F$10&lt;&gt;"",'Your debts'!$F$6&lt;'Your debts'!$F$10),H136,0)+IF(AND('Your debts'!$F$7&lt;&gt;"",'Your debts'!$F$10&lt;&gt;"",'Your debts'!$F$7&lt;'Your debts'!$F$10),M136,0)+IF(AND('Your debts'!$F$8&lt;&gt;"",'Your debts'!$F$10&lt;&gt;"",'Your debts'!$F$8&lt;'Your debts'!$F$10),R136,0)+IF(AND('Your debts'!$F$9&lt;&gt;"",'Your debts'!$F$10&lt;&gt;"",'Your debts'!$F$9&lt;'Your debts'!$F$10),W136,0)+IF(AND('Your debts'!$F$11&lt;&gt;"",'Your debts'!$F$10&lt;&gt;"",'Your debts'!$F$11&lt;'Your debts'!$F$10),AG136,0)+IF(AND('Your debts'!$F$12&lt;&gt;"",'Your debts'!$F$10&lt;&gt;"",'Your debts'!$F$12&lt;'Your debts'!$F$10),AL136,0)+IF(AND('Your debts'!$F$13&lt;&gt;"",'Your debts'!$F$10&lt;&gt;"",'Your debts'!$F$13&lt;'Your debts'!$F$10),AQ136,0)+IF(AND('Your debts'!$F$14&lt;&gt;"",'Your debts'!$F$10&lt;&gt;"",'Your debts'!$F$14&lt;'Your debts'!$F$10),AV136,0)+IF(AND('Your debts'!$F$15&lt;&gt;"",'Your debts'!$F$10&lt;&gt;"",'Your debts'!$F$15&lt;'Your debts'!$F$10),BA136,0)))))</f>
        <v/>
      </c>
      <c r="AD136" s="33">
        <f>AB136-AC136</f>
        <v/>
      </c>
      <c r="AE136" s="33">
        <f>IF(AI135&lt;=0,0,ROUND(AI135*(1+'Your debts'!$D$11/1200),2))</f>
        <v/>
      </c>
      <c r="AF136" s="33">
        <f>IF(AE136&lt;=0,0,MIN('Your debts'!$E$11,AE136))</f>
        <v/>
      </c>
      <c r="AG136" s="33">
        <f>AE136-AF136</f>
        <v/>
      </c>
      <c r="AH136" s="33">
        <f>IF('Your debts'!$F$11="",0,MIN(AG136,MAX(0,MAX(0,'Your debts'!$C$19-(G136+L136+Q136+V136+AA136+AF136+AK136+AP136+AU136+AZ136))-(IF(AND('Your debts'!$F$6&lt;&gt;"",'Your debts'!$F$11&lt;&gt;"",'Your debts'!$F$6&lt;'Your debts'!$F$11),H136,0)+IF(AND('Your debts'!$F$7&lt;&gt;"",'Your debts'!$F$11&lt;&gt;"",'Your debts'!$F$7&lt;'Your debts'!$F$11),M136,0)+IF(AND('Your debts'!$F$8&lt;&gt;"",'Your debts'!$F$11&lt;&gt;"",'Your debts'!$F$8&lt;'Your debts'!$F$11),R136,0)+IF(AND('Your debts'!$F$9&lt;&gt;"",'Your debts'!$F$11&lt;&gt;"",'Your debts'!$F$9&lt;'Your debts'!$F$11),W136,0)+IF(AND('Your debts'!$F$10&lt;&gt;"",'Your debts'!$F$11&lt;&gt;"",'Your debts'!$F$10&lt;'Your debts'!$F$11),AB136,0)+IF(AND('Your debts'!$F$12&lt;&gt;"",'Your debts'!$F$11&lt;&gt;"",'Your debts'!$F$12&lt;'Your debts'!$F$11),AL136,0)+IF(AND('Your debts'!$F$13&lt;&gt;"",'Your debts'!$F$11&lt;&gt;"",'Your debts'!$F$13&lt;'Your debts'!$F$11),AQ136,0)+IF(AND('Your debts'!$F$14&lt;&gt;"",'Your debts'!$F$11&lt;&gt;"",'Your debts'!$F$14&lt;'Your debts'!$F$11),AV136,0)+IF(AND('Your debts'!$F$15&lt;&gt;"",'Your debts'!$F$11&lt;&gt;"",'Your debts'!$F$15&lt;'Your debts'!$F$11),BA136,0)))))</f>
        <v/>
      </c>
      <c r="AI136" s="33">
        <f>AG136-AH136</f>
        <v/>
      </c>
      <c r="AJ136" s="33">
        <f>IF(AN135&lt;=0,0,ROUND(AN135*(1+'Your debts'!$D$12/1200),2))</f>
        <v/>
      </c>
      <c r="AK136" s="33">
        <f>IF(AJ136&lt;=0,0,MIN('Your debts'!$E$12,AJ136))</f>
        <v/>
      </c>
      <c r="AL136" s="33">
        <f>AJ136-AK136</f>
        <v/>
      </c>
      <c r="AM136" s="33">
        <f>IF('Your debts'!$F$12="",0,MIN(AL136,MAX(0,MAX(0,'Your debts'!$C$19-(G136+L136+Q136+V136+AA136+AF136+AK136+AP136+AU136+AZ136))-(IF(AND('Your debts'!$F$6&lt;&gt;"",'Your debts'!$F$12&lt;&gt;"",'Your debts'!$F$6&lt;'Your debts'!$F$12),H136,0)+IF(AND('Your debts'!$F$7&lt;&gt;"",'Your debts'!$F$12&lt;&gt;"",'Your debts'!$F$7&lt;'Your debts'!$F$12),M136,0)+IF(AND('Your debts'!$F$8&lt;&gt;"",'Your debts'!$F$12&lt;&gt;"",'Your debts'!$F$8&lt;'Your debts'!$F$12),R136,0)+IF(AND('Your debts'!$F$9&lt;&gt;"",'Your debts'!$F$12&lt;&gt;"",'Your debts'!$F$9&lt;'Your debts'!$F$12),W136,0)+IF(AND('Your debts'!$F$10&lt;&gt;"",'Your debts'!$F$12&lt;&gt;"",'Your debts'!$F$10&lt;'Your debts'!$F$12),AB136,0)+IF(AND('Your debts'!$F$11&lt;&gt;"",'Your debts'!$F$12&lt;&gt;"",'Your debts'!$F$11&lt;'Your debts'!$F$12),AG136,0)+IF(AND('Your debts'!$F$13&lt;&gt;"",'Your debts'!$F$12&lt;&gt;"",'Your debts'!$F$13&lt;'Your debts'!$F$12),AQ136,0)+IF(AND('Your debts'!$F$14&lt;&gt;"",'Your debts'!$F$12&lt;&gt;"",'Your debts'!$F$14&lt;'Your debts'!$F$12),AV136,0)+IF(AND('Your debts'!$F$15&lt;&gt;"",'Your debts'!$F$12&lt;&gt;"",'Your debts'!$F$15&lt;'Your debts'!$F$12),BA136,0)))))</f>
        <v/>
      </c>
      <c r="AN136" s="33">
        <f>AL136-AM136</f>
        <v/>
      </c>
      <c r="AO136" s="33">
        <f>IF(AS135&lt;=0,0,ROUND(AS135*(1+'Your debts'!$D$13/1200),2))</f>
        <v/>
      </c>
      <c r="AP136" s="33">
        <f>IF(AO136&lt;=0,0,MIN('Your debts'!$E$13,AO136))</f>
        <v/>
      </c>
      <c r="AQ136" s="33">
        <f>AO136-AP136</f>
        <v/>
      </c>
      <c r="AR136" s="33">
        <f>IF('Your debts'!$F$13="",0,MIN(AQ136,MAX(0,MAX(0,'Your debts'!$C$19-(G136+L136+Q136+V136+AA136+AF136+AK136+AP136+AU136+AZ136))-(IF(AND('Your debts'!$F$6&lt;&gt;"",'Your debts'!$F$13&lt;&gt;"",'Your debts'!$F$6&lt;'Your debts'!$F$13),H136,0)+IF(AND('Your debts'!$F$7&lt;&gt;"",'Your debts'!$F$13&lt;&gt;"",'Your debts'!$F$7&lt;'Your debts'!$F$13),M136,0)+IF(AND('Your debts'!$F$8&lt;&gt;"",'Your debts'!$F$13&lt;&gt;"",'Your debts'!$F$8&lt;'Your debts'!$F$13),R136,0)+IF(AND('Your debts'!$F$9&lt;&gt;"",'Your debts'!$F$13&lt;&gt;"",'Your debts'!$F$9&lt;'Your debts'!$F$13),W136,0)+IF(AND('Your debts'!$F$10&lt;&gt;"",'Your debts'!$F$13&lt;&gt;"",'Your debts'!$F$10&lt;'Your debts'!$F$13),AB136,0)+IF(AND('Your debts'!$F$11&lt;&gt;"",'Your debts'!$F$13&lt;&gt;"",'Your debts'!$F$11&lt;'Your debts'!$F$13),AG136,0)+IF(AND('Your debts'!$F$12&lt;&gt;"",'Your debts'!$F$13&lt;&gt;"",'Your debts'!$F$12&lt;'Your debts'!$F$13),AL136,0)+IF(AND('Your debts'!$F$14&lt;&gt;"",'Your debts'!$F$13&lt;&gt;"",'Your debts'!$F$14&lt;'Your debts'!$F$13),AV136,0)+IF(AND('Your debts'!$F$15&lt;&gt;"",'Your debts'!$F$13&lt;&gt;"",'Your debts'!$F$15&lt;'Your debts'!$F$13),BA136,0)))))</f>
        <v/>
      </c>
      <c r="AS136" s="33">
        <f>AQ136-AR136</f>
        <v/>
      </c>
      <c r="AT136" s="33">
        <f>IF(AX135&lt;=0,0,ROUND(AX135*(1+'Your debts'!$D$14/1200),2))</f>
        <v/>
      </c>
      <c r="AU136" s="33">
        <f>IF(AT136&lt;=0,0,MIN('Your debts'!$E$14,AT136))</f>
        <v/>
      </c>
      <c r="AV136" s="33">
        <f>AT136-AU136</f>
        <v/>
      </c>
      <c r="AW136" s="33">
        <f>IF('Your debts'!$F$14="",0,MIN(AV136,MAX(0,MAX(0,'Your debts'!$C$19-(G136+L136+Q136+V136+AA136+AF136+AK136+AP136+AU136+AZ136))-(IF(AND('Your debts'!$F$6&lt;&gt;"",'Your debts'!$F$14&lt;&gt;"",'Your debts'!$F$6&lt;'Your debts'!$F$14),H136,0)+IF(AND('Your debts'!$F$7&lt;&gt;"",'Your debts'!$F$14&lt;&gt;"",'Your debts'!$F$7&lt;'Your debts'!$F$14),M136,0)+IF(AND('Your debts'!$F$8&lt;&gt;"",'Your debts'!$F$14&lt;&gt;"",'Your debts'!$F$8&lt;'Your debts'!$F$14),R136,0)+IF(AND('Your debts'!$F$9&lt;&gt;"",'Your debts'!$F$14&lt;&gt;"",'Your debts'!$F$9&lt;'Your debts'!$F$14),W136,0)+IF(AND('Your debts'!$F$10&lt;&gt;"",'Your debts'!$F$14&lt;&gt;"",'Your debts'!$F$10&lt;'Your debts'!$F$14),AB136,0)+IF(AND('Your debts'!$F$11&lt;&gt;"",'Your debts'!$F$14&lt;&gt;"",'Your debts'!$F$11&lt;'Your debts'!$F$14),AG136,0)+IF(AND('Your debts'!$F$12&lt;&gt;"",'Your debts'!$F$14&lt;&gt;"",'Your debts'!$F$12&lt;'Your debts'!$F$14),AL136,0)+IF(AND('Your debts'!$F$13&lt;&gt;"",'Your debts'!$F$14&lt;&gt;"",'Your debts'!$F$13&lt;'Your debts'!$F$14),AQ136,0)+IF(AND('Your debts'!$F$15&lt;&gt;"",'Your debts'!$F$14&lt;&gt;"",'Your debts'!$F$15&lt;'Your debts'!$F$14),BA136,0)))))</f>
        <v/>
      </c>
      <c r="AX136" s="33">
        <f>AV136-AW136</f>
        <v/>
      </c>
      <c r="AY136" s="33">
        <f>IF(BC135&lt;=0,0,ROUND(BC135*(1+'Your debts'!$D$15/1200),2))</f>
        <v/>
      </c>
      <c r="AZ136" s="33">
        <f>IF(AY136&lt;=0,0,MIN('Your debts'!$E$15,AY136))</f>
        <v/>
      </c>
      <c r="BA136" s="33">
        <f>AY136-AZ136</f>
        <v/>
      </c>
      <c r="BB136" s="33">
        <f>IF('Your debts'!$F$15="",0,MIN(BA136,MAX(0,MAX(0,'Your debts'!$C$19-(G136+L136+Q136+V136+AA136+AF136+AK136+AP136+AU136+AZ136))-(IF(AND('Your debts'!$F$6&lt;&gt;"",'Your debts'!$F$15&lt;&gt;"",'Your debts'!$F$6&lt;'Your debts'!$F$15),H136,0)+IF(AND('Your debts'!$F$7&lt;&gt;"",'Your debts'!$F$15&lt;&gt;"",'Your debts'!$F$7&lt;'Your debts'!$F$15),M136,0)+IF(AND('Your debts'!$F$8&lt;&gt;"",'Your debts'!$F$15&lt;&gt;"",'Your debts'!$F$8&lt;'Your debts'!$F$15),R136,0)+IF(AND('Your debts'!$F$9&lt;&gt;"",'Your debts'!$F$15&lt;&gt;"",'Your debts'!$F$9&lt;'Your debts'!$F$15),W136,0)+IF(AND('Your debts'!$F$10&lt;&gt;"",'Your debts'!$F$15&lt;&gt;"",'Your debts'!$F$10&lt;'Your debts'!$F$15),AB136,0)+IF(AND('Your debts'!$F$11&lt;&gt;"",'Your debts'!$F$15&lt;&gt;"",'Your debts'!$F$11&lt;'Your debts'!$F$15),AG136,0)+IF(AND('Your debts'!$F$12&lt;&gt;"",'Your debts'!$F$15&lt;&gt;"",'Your debts'!$F$12&lt;'Your debts'!$F$15),AL136,0)+IF(AND('Your debts'!$F$13&lt;&gt;"",'Your debts'!$F$15&lt;&gt;"",'Your debts'!$F$13&lt;'Your debts'!$F$15),AQ136,0)+IF(AND('Your debts'!$F$14&lt;&gt;"",'Your debts'!$F$15&lt;&gt;"",'Your debts'!$F$14&lt;'Your debts'!$F$15),AV136,0)))))</f>
        <v/>
      </c>
      <c r="BC136" s="33">
        <f>BA136-BB136</f>
        <v/>
      </c>
    </row>
    <row r="137">
      <c r="A137" s="30" t="n">
        <v>122</v>
      </c>
      <c r="B137" s="31">
        <f>EDATE($B$15,122)</f>
        <v/>
      </c>
      <c r="C137" s="32">
        <f>IF(J136&lt;=0,0,F137-J136)+IF(O136&lt;=0,0,K137-O136)+IF(T136&lt;=0,0,P137-T136)+IF(Y136&lt;=0,0,U137-Y136)+IF(AD136&lt;=0,0,Z137-AD136)+IF(AI136&lt;=0,0,AE137-AI136)+IF(AN136&lt;=0,0,AJ137-AN136)+IF(AS136&lt;=0,0,AO137-AS136)+IF(AX136&lt;=0,0,AT137-AX136)+IF(BC136&lt;=0,0,AY137-BC136)</f>
        <v/>
      </c>
      <c r="D137" s="32">
        <f>G137+I137+L137+N137+Q137+S137+V137+X137+AA137+AC137+AF137+AH137+AK137+AM137+AP137+AR137+AU137+AW137+AZ137+BB137</f>
        <v/>
      </c>
      <c r="E137" s="32">
        <f>J137+O137+T137+Y137+AD137+AI137+AN137+AS137+AX137+BC137</f>
        <v/>
      </c>
      <c r="F137" s="33">
        <f>IF(J136&lt;=0,0,ROUND(J136*(1+'Your debts'!$D$6/1200),2))</f>
        <v/>
      </c>
      <c r="G137" s="33">
        <f>IF(F137&lt;=0,0,MIN('Your debts'!$E$6,F137))</f>
        <v/>
      </c>
      <c r="H137" s="33">
        <f>F137-G137</f>
        <v/>
      </c>
      <c r="I137" s="33">
        <f>IF('Your debts'!$F$6="",0,MIN(H137,MAX(0,MAX(0,'Your debts'!$C$19-(G137+L137+Q137+V137+AA137+AF137+AK137+AP137+AU137+AZ137))-(IF(AND('Your debts'!$F$7&lt;&gt;"",'Your debts'!$F$6&lt;&gt;"",'Your debts'!$F$7&lt;'Your debts'!$F$6),M137,0)+IF(AND('Your debts'!$F$8&lt;&gt;"",'Your debts'!$F$6&lt;&gt;"",'Your debts'!$F$8&lt;'Your debts'!$F$6),R137,0)+IF(AND('Your debts'!$F$9&lt;&gt;"",'Your debts'!$F$6&lt;&gt;"",'Your debts'!$F$9&lt;'Your debts'!$F$6),W137,0)+IF(AND('Your debts'!$F$10&lt;&gt;"",'Your debts'!$F$6&lt;&gt;"",'Your debts'!$F$10&lt;'Your debts'!$F$6),AB137,0)+IF(AND('Your debts'!$F$11&lt;&gt;"",'Your debts'!$F$6&lt;&gt;"",'Your debts'!$F$11&lt;'Your debts'!$F$6),AG137,0)+IF(AND('Your debts'!$F$12&lt;&gt;"",'Your debts'!$F$6&lt;&gt;"",'Your debts'!$F$12&lt;'Your debts'!$F$6),AL137,0)+IF(AND('Your debts'!$F$13&lt;&gt;"",'Your debts'!$F$6&lt;&gt;"",'Your debts'!$F$13&lt;'Your debts'!$F$6),AQ137,0)+IF(AND('Your debts'!$F$14&lt;&gt;"",'Your debts'!$F$6&lt;&gt;"",'Your debts'!$F$14&lt;'Your debts'!$F$6),AV137,0)+IF(AND('Your debts'!$F$15&lt;&gt;"",'Your debts'!$F$6&lt;&gt;"",'Your debts'!$F$15&lt;'Your debts'!$F$6),BA137,0)))))</f>
        <v/>
      </c>
      <c r="J137" s="33">
        <f>H137-I137</f>
        <v/>
      </c>
      <c r="K137" s="33">
        <f>IF(O136&lt;=0,0,ROUND(O136*(1+'Your debts'!$D$7/1200),2))</f>
        <v/>
      </c>
      <c r="L137" s="33">
        <f>IF(K137&lt;=0,0,MIN('Your debts'!$E$7,K137))</f>
        <v/>
      </c>
      <c r="M137" s="33">
        <f>K137-L137</f>
        <v/>
      </c>
      <c r="N137" s="33">
        <f>IF('Your debts'!$F$7="",0,MIN(M137,MAX(0,MAX(0,'Your debts'!$C$19-(G137+L137+Q137+V137+AA137+AF137+AK137+AP137+AU137+AZ137))-(IF(AND('Your debts'!$F$6&lt;&gt;"",'Your debts'!$F$7&lt;&gt;"",'Your debts'!$F$6&lt;'Your debts'!$F$7),H137,0)+IF(AND('Your debts'!$F$8&lt;&gt;"",'Your debts'!$F$7&lt;&gt;"",'Your debts'!$F$8&lt;'Your debts'!$F$7),R137,0)+IF(AND('Your debts'!$F$9&lt;&gt;"",'Your debts'!$F$7&lt;&gt;"",'Your debts'!$F$9&lt;'Your debts'!$F$7),W137,0)+IF(AND('Your debts'!$F$10&lt;&gt;"",'Your debts'!$F$7&lt;&gt;"",'Your debts'!$F$10&lt;'Your debts'!$F$7),AB137,0)+IF(AND('Your debts'!$F$11&lt;&gt;"",'Your debts'!$F$7&lt;&gt;"",'Your debts'!$F$11&lt;'Your debts'!$F$7),AG137,0)+IF(AND('Your debts'!$F$12&lt;&gt;"",'Your debts'!$F$7&lt;&gt;"",'Your debts'!$F$12&lt;'Your debts'!$F$7),AL137,0)+IF(AND('Your debts'!$F$13&lt;&gt;"",'Your debts'!$F$7&lt;&gt;"",'Your debts'!$F$13&lt;'Your debts'!$F$7),AQ137,0)+IF(AND('Your debts'!$F$14&lt;&gt;"",'Your debts'!$F$7&lt;&gt;"",'Your debts'!$F$14&lt;'Your debts'!$F$7),AV137,0)+IF(AND('Your debts'!$F$15&lt;&gt;"",'Your debts'!$F$7&lt;&gt;"",'Your debts'!$F$15&lt;'Your debts'!$F$7),BA137,0)))))</f>
        <v/>
      </c>
      <c r="O137" s="33">
        <f>M137-N137</f>
        <v/>
      </c>
      <c r="P137" s="33">
        <f>IF(T136&lt;=0,0,ROUND(T136*(1+'Your debts'!$D$8/1200),2))</f>
        <v/>
      </c>
      <c r="Q137" s="33">
        <f>IF(P137&lt;=0,0,MIN('Your debts'!$E$8,P137))</f>
        <v/>
      </c>
      <c r="R137" s="33">
        <f>P137-Q137</f>
        <v/>
      </c>
      <c r="S137" s="33">
        <f>IF('Your debts'!$F$8="",0,MIN(R137,MAX(0,MAX(0,'Your debts'!$C$19-(G137+L137+Q137+V137+AA137+AF137+AK137+AP137+AU137+AZ137))-(IF(AND('Your debts'!$F$6&lt;&gt;"",'Your debts'!$F$8&lt;&gt;"",'Your debts'!$F$6&lt;'Your debts'!$F$8),H137,0)+IF(AND('Your debts'!$F$7&lt;&gt;"",'Your debts'!$F$8&lt;&gt;"",'Your debts'!$F$7&lt;'Your debts'!$F$8),M137,0)+IF(AND('Your debts'!$F$9&lt;&gt;"",'Your debts'!$F$8&lt;&gt;"",'Your debts'!$F$9&lt;'Your debts'!$F$8),W137,0)+IF(AND('Your debts'!$F$10&lt;&gt;"",'Your debts'!$F$8&lt;&gt;"",'Your debts'!$F$10&lt;'Your debts'!$F$8),AB137,0)+IF(AND('Your debts'!$F$11&lt;&gt;"",'Your debts'!$F$8&lt;&gt;"",'Your debts'!$F$11&lt;'Your debts'!$F$8),AG137,0)+IF(AND('Your debts'!$F$12&lt;&gt;"",'Your debts'!$F$8&lt;&gt;"",'Your debts'!$F$12&lt;'Your debts'!$F$8),AL137,0)+IF(AND('Your debts'!$F$13&lt;&gt;"",'Your debts'!$F$8&lt;&gt;"",'Your debts'!$F$13&lt;'Your debts'!$F$8),AQ137,0)+IF(AND('Your debts'!$F$14&lt;&gt;"",'Your debts'!$F$8&lt;&gt;"",'Your debts'!$F$14&lt;'Your debts'!$F$8),AV137,0)+IF(AND('Your debts'!$F$15&lt;&gt;"",'Your debts'!$F$8&lt;&gt;"",'Your debts'!$F$15&lt;'Your debts'!$F$8),BA137,0)))))</f>
        <v/>
      </c>
      <c r="T137" s="33">
        <f>R137-S137</f>
        <v/>
      </c>
      <c r="U137" s="33">
        <f>IF(Y136&lt;=0,0,ROUND(Y136*(1+'Your debts'!$D$9/1200),2))</f>
        <v/>
      </c>
      <c r="V137" s="33">
        <f>IF(U137&lt;=0,0,MIN('Your debts'!$E$9,U137))</f>
        <v/>
      </c>
      <c r="W137" s="33">
        <f>U137-V137</f>
        <v/>
      </c>
      <c r="X137" s="33">
        <f>IF('Your debts'!$F$9="",0,MIN(W137,MAX(0,MAX(0,'Your debts'!$C$19-(G137+L137+Q137+V137+AA137+AF137+AK137+AP137+AU137+AZ137))-(IF(AND('Your debts'!$F$6&lt;&gt;"",'Your debts'!$F$9&lt;&gt;"",'Your debts'!$F$6&lt;'Your debts'!$F$9),H137,0)+IF(AND('Your debts'!$F$7&lt;&gt;"",'Your debts'!$F$9&lt;&gt;"",'Your debts'!$F$7&lt;'Your debts'!$F$9),M137,0)+IF(AND('Your debts'!$F$8&lt;&gt;"",'Your debts'!$F$9&lt;&gt;"",'Your debts'!$F$8&lt;'Your debts'!$F$9),R137,0)+IF(AND('Your debts'!$F$10&lt;&gt;"",'Your debts'!$F$9&lt;&gt;"",'Your debts'!$F$10&lt;'Your debts'!$F$9),AB137,0)+IF(AND('Your debts'!$F$11&lt;&gt;"",'Your debts'!$F$9&lt;&gt;"",'Your debts'!$F$11&lt;'Your debts'!$F$9),AG137,0)+IF(AND('Your debts'!$F$12&lt;&gt;"",'Your debts'!$F$9&lt;&gt;"",'Your debts'!$F$12&lt;'Your debts'!$F$9),AL137,0)+IF(AND('Your debts'!$F$13&lt;&gt;"",'Your debts'!$F$9&lt;&gt;"",'Your debts'!$F$13&lt;'Your debts'!$F$9),AQ137,0)+IF(AND('Your debts'!$F$14&lt;&gt;"",'Your debts'!$F$9&lt;&gt;"",'Your debts'!$F$14&lt;'Your debts'!$F$9),AV137,0)+IF(AND('Your debts'!$F$15&lt;&gt;"",'Your debts'!$F$9&lt;&gt;"",'Your debts'!$F$15&lt;'Your debts'!$F$9),BA137,0)))))</f>
        <v/>
      </c>
      <c r="Y137" s="33">
        <f>W137-X137</f>
        <v/>
      </c>
      <c r="Z137" s="33">
        <f>IF(AD136&lt;=0,0,ROUND(AD136*(1+'Your debts'!$D$10/1200),2))</f>
        <v/>
      </c>
      <c r="AA137" s="33">
        <f>IF(Z137&lt;=0,0,MIN('Your debts'!$E$10,Z137))</f>
        <v/>
      </c>
      <c r="AB137" s="33">
        <f>Z137-AA137</f>
        <v/>
      </c>
      <c r="AC137" s="33">
        <f>IF('Your debts'!$F$10="",0,MIN(AB137,MAX(0,MAX(0,'Your debts'!$C$19-(G137+L137+Q137+V137+AA137+AF137+AK137+AP137+AU137+AZ137))-(IF(AND('Your debts'!$F$6&lt;&gt;"",'Your debts'!$F$10&lt;&gt;"",'Your debts'!$F$6&lt;'Your debts'!$F$10),H137,0)+IF(AND('Your debts'!$F$7&lt;&gt;"",'Your debts'!$F$10&lt;&gt;"",'Your debts'!$F$7&lt;'Your debts'!$F$10),M137,0)+IF(AND('Your debts'!$F$8&lt;&gt;"",'Your debts'!$F$10&lt;&gt;"",'Your debts'!$F$8&lt;'Your debts'!$F$10),R137,0)+IF(AND('Your debts'!$F$9&lt;&gt;"",'Your debts'!$F$10&lt;&gt;"",'Your debts'!$F$9&lt;'Your debts'!$F$10),W137,0)+IF(AND('Your debts'!$F$11&lt;&gt;"",'Your debts'!$F$10&lt;&gt;"",'Your debts'!$F$11&lt;'Your debts'!$F$10),AG137,0)+IF(AND('Your debts'!$F$12&lt;&gt;"",'Your debts'!$F$10&lt;&gt;"",'Your debts'!$F$12&lt;'Your debts'!$F$10),AL137,0)+IF(AND('Your debts'!$F$13&lt;&gt;"",'Your debts'!$F$10&lt;&gt;"",'Your debts'!$F$13&lt;'Your debts'!$F$10),AQ137,0)+IF(AND('Your debts'!$F$14&lt;&gt;"",'Your debts'!$F$10&lt;&gt;"",'Your debts'!$F$14&lt;'Your debts'!$F$10),AV137,0)+IF(AND('Your debts'!$F$15&lt;&gt;"",'Your debts'!$F$10&lt;&gt;"",'Your debts'!$F$15&lt;'Your debts'!$F$10),BA137,0)))))</f>
        <v/>
      </c>
      <c r="AD137" s="33">
        <f>AB137-AC137</f>
        <v/>
      </c>
      <c r="AE137" s="33">
        <f>IF(AI136&lt;=0,0,ROUND(AI136*(1+'Your debts'!$D$11/1200),2))</f>
        <v/>
      </c>
      <c r="AF137" s="33">
        <f>IF(AE137&lt;=0,0,MIN('Your debts'!$E$11,AE137))</f>
        <v/>
      </c>
      <c r="AG137" s="33">
        <f>AE137-AF137</f>
        <v/>
      </c>
      <c r="AH137" s="33">
        <f>IF('Your debts'!$F$11="",0,MIN(AG137,MAX(0,MAX(0,'Your debts'!$C$19-(G137+L137+Q137+V137+AA137+AF137+AK137+AP137+AU137+AZ137))-(IF(AND('Your debts'!$F$6&lt;&gt;"",'Your debts'!$F$11&lt;&gt;"",'Your debts'!$F$6&lt;'Your debts'!$F$11),H137,0)+IF(AND('Your debts'!$F$7&lt;&gt;"",'Your debts'!$F$11&lt;&gt;"",'Your debts'!$F$7&lt;'Your debts'!$F$11),M137,0)+IF(AND('Your debts'!$F$8&lt;&gt;"",'Your debts'!$F$11&lt;&gt;"",'Your debts'!$F$8&lt;'Your debts'!$F$11),R137,0)+IF(AND('Your debts'!$F$9&lt;&gt;"",'Your debts'!$F$11&lt;&gt;"",'Your debts'!$F$9&lt;'Your debts'!$F$11),W137,0)+IF(AND('Your debts'!$F$10&lt;&gt;"",'Your debts'!$F$11&lt;&gt;"",'Your debts'!$F$10&lt;'Your debts'!$F$11),AB137,0)+IF(AND('Your debts'!$F$12&lt;&gt;"",'Your debts'!$F$11&lt;&gt;"",'Your debts'!$F$12&lt;'Your debts'!$F$11),AL137,0)+IF(AND('Your debts'!$F$13&lt;&gt;"",'Your debts'!$F$11&lt;&gt;"",'Your debts'!$F$13&lt;'Your debts'!$F$11),AQ137,0)+IF(AND('Your debts'!$F$14&lt;&gt;"",'Your debts'!$F$11&lt;&gt;"",'Your debts'!$F$14&lt;'Your debts'!$F$11),AV137,0)+IF(AND('Your debts'!$F$15&lt;&gt;"",'Your debts'!$F$11&lt;&gt;"",'Your debts'!$F$15&lt;'Your debts'!$F$11),BA137,0)))))</f>
        <v/>
      </c>
      <c r="AI137" s="33">
        <f>AG137-AH137</f>
        <v/>
      </c>
      <c r="AJ137" s="33">
        <f>IF(AN136&lt;=0,0,ROUND(AN136*(1+'Your debts'!$D$12/1200),2))</f>
        <v/>
      </c>
      <c r="AK137" s="33">
        <f>IF(AJ137&lt;=0,0,MIN('Your debts'!$E$12,AJ137))</f>
        <v/>
      </c>
      <c r="AL137" s="33">
        <f>AJ137-AK137</f>
        <v/>
      </c>
      <c r="AM137" s="33">
        <f>IF('Your debts'!$F$12="",0,MIN(AL137,MAX(0,MAX(0,'Your debts'!$C$19-(G137+L137+Q137+V137+AA137+AF137+AK137+AP137+AU137+AZ137))-(IF(AND('Your debts'!$F$6&lt;&gt;"",'Your debts'!$F$12&lt;&gt;"",'Your debts'!$F$6&lt;'Your debts'!$F$12),H137,0)+IF(AND('Your debts'!$F$7&lt;&gt;"",'Your debts'!$F$12&lt;&gt;"",'Your debts'!$F$7&lt;'Your debts'!$F$12),M137,0)+IF(AND('Your debts'!$F$8&lt;&gt;"",'Your debts'!$F$12&lt;&gt;"",'Your debts'!$F$8&lt;'Your debts'!$F$12),R137,0)+IF(AND('Your debts'!$F$9&lt;&gt;"",'Your debts'!$F$12&lt;&gt;"",'Your debts'!$F$9&lt;'Your debts'!$F$12),W137,0)+IF(AND('Your debts'!$F$10&lt;&gt;"",'Your debts'!$F$12&lt;&gt;"",'Your debts'!$F$10&lt;'Your debts'!$F$12),AB137,0)+IF(AND('Your debts'!$F$11&lt;&gt;"",'Your debts'!$F$12&lt;&gt;"",'Your debts'!$F$11&lt;'Your debts'!$F$12),AG137,0)+IF(AND('Your debts'!$F$13&lt;&gt;"",'Your debts'!$F$12&lt;&gt;"",'Your debts'!$F$13&lt;'Your debts'!$F$12),AQ137,0)+IF(AND('Your debts'!$F$14&lt;&gt;"",'Your debts'!$F$12&lt;&gt;"",'Your debts'!$F$14&lt;'Your debts'!$F$12),AV137,0)+IF(AND('Your debts'!$F$15&lt;&gt;"",'Your debts'!$F$12&lt;&gt;"",'Your debts'!$F$15&lt;'Your debts'!$F$12),BA137,0)))))</f>
        <v/>
      </c>
      <c r="AN137" s="33">
        <f>AL137-AM137</f>
        <v/>
      </c>
      <c r="AO137" s="33">
        <f>IF(AS136&lt;=0,0,ROUND(AS136*(1+'Your debts'!$D$13/1200),2))</f>
        <v/>
      </c>
      <c r="AP137" s="33">
        <f>IF(AO137&lt;=0,0,MIN('Your debts'!$E$13,AO137))</f>
        <v/>
      </c>
      <c r="AQ137" s="33">
        <f>AO137-AP137</f>
        <v/>
      </c>
      <c r="AR137" s="33">
        <f>IF('Your debts'!$F$13="",0,MIN(AQ137,MAX(0,MAX(0,'Your debts'!$C$19-(G137+L137+Q137+V137+AA137+AF137+AK137+AP137+AU137+AZ137))-(IF(AND('Your debts'!$F$6&lt;&gt;"",'Your debts'!$F$13&lt;&gt;"",'Your debts'!$F$6&lt;'Your debts'!$F$13),H137,0)+IF(AND('Your debts'!$F$7&lt;&gt;"",'Your debts'!$F$13&lt;&gt;"",'Your debts'!$F$7&lt;'Your debts'!$F$13),M137,0)+IF(AND('Your debts'!$F$8&lt;&gt;"",'Your debts'!$F$13&lt;&gt;"",'Your debts'!$F$8&lt;'Your debts'!$F$13),R137,0)+IF(AND('Your debts'!$F$9&lt;&gt;"",'Your debts'!$F$13&lt;&gt;"",'Your debts'!$F$9&lt;'Your debts'!$F$13),W137,0)+IF(AND('Your debts'!$F$10&lt;&gt;"",'Your debts'!$F$13&lt;&gt;"",'Your debts'!$F$10&lt;'Your debts'!$F$13),AB137,0)+IF(AND('Your debts'!$F$11&lt;&gt;"",'Your debts'!$F$13&lt;&gt;"",'Your debts'!$F$11&lt;'Your debts'!$F$13),AG137,0)+IF(AND('Your debts'!$F$12&lt;&gt;"",'Your debts'!$F$13&lt;&gt;"",'Your debts'!$F$12&lt;'Your debts'!$F$13),AL137,0)+IF(AND('Your debts'!$F$14&lt;&gt;"",'Your debts'!$F$13&lt;&gt;"",'Your debts'!$F$14&lt;'Your debts'!$F$13),AV137,0)+IF(AND('Your debts'!$F$15&lt;&gt;"",'Your debts'!$F$13&lt;&gt;"",'Your debts'!$F$15&lt;'Your debts'!$F$13),BA137,0)))))</f>
        <v/>
      </c>
      <c r="AS137" s="33">
        <f>AQ137-AR137</f>
        <v/>
      </c>
      <c r="AT137" s="33">
        <f>IF(AX136&lt;=0,0,ROUND(AX136*(1+'Your debts'!$D$14/1200),2))</f>
        <v/>
      </c>
      <c r="AU137" s="33">
        <f>IF(AT137&lt;=0,0,MIN('Your debts'!$E$14,AT137))</f>
        <v/>
      </c>
      <c r="AV137" s="33">
        <f>AT137-AU137</f>
        <v/>
      </c>
      <c r="AW137" s="33">
        <f>IF('Your debts'!$F$14="",0,MIN(AV137,MAX(0,MAX(0,'Your debts'!$C$19-(G137+L137+Q137+V137+AA137+AF137+AK137+AP137+AU137+AZ137))-(IF(AND('Your debts'!$F$6&lt;&gt;"",'Your debts'!$F$14&lt;&gt;"",'Your debts'!$F$6&lt;'Your debts'!$F$14),H137,0)+IF(AND('Your debts'!$F$7&lt;&gt;"",'Your debts'!$F$14&lt;&gt;"",'Your debts'!$F$7&lt;'Your debts'!$F$14),M137,0)+IF(AND('Your debts'!$F$8&lt;&gt;"",'Your debts'!$F$14&lt;&gt;"",'Your debts'!$F$8&lt;'Your debts'!$F$14),R137,0)+IF(AND('Your debts'!$F$9&lt;&gt;"",'Your debts'!$F$14&lt;&gt;"",'Your debts'!$F$9&lt;'Your debts'!$F$14),W137,0)+IF(AND('Your debts'!$F$10&lt;&gt;"",'Your debts'!$F$14&lt;&gt;"",'Your debts'!$F$10&lt;'Your debts'!$F$14),AB137,0)+IF(AND('Your debts'!$F$11&lt;&gt;"",'Your debts'!$F$14&lt;&gt;"",'Your debts'!$F$11&lt;'Your debts'!$F$14),AG137,0)+IF(AND('Your debts'!$F$12&lt;&gt;"",'Your debts'!$F$14&lt;&gt;"",'Your debts'!$F$12&lt;'Your debts'!$F$14),AL137,0)+IF(AND('Your debts'!$F$13&lt;&gt;"",'Your debts'!$F$14&lt;&gt;"",'Your debts'!$F$13&lt;'Your debts'!$F$14),AQ137,0)+IF(AND('Your debts'!$F$15&lt;&gt;"",'Your debts'!$F$14&lt;&gt;"",'Your debts'!$F$15&lt;'Your debts'!$F$14),BA137,0)))))</f>
        <v/>
      </c>
      <c r="AX137" s="33">
        <f>AV137-AW137</f>
        <v/>
      </c>
      <c r="AY137" s="33">
        <f>IF(BC136&lt;=0,0,ROUND(BC136*(1+'Your debts'!$D$15/1200),2))</f>
        <v/>
      </c>
      <c r="AZ137" s="33">
        <f>IF(AY137&lt;=0,0,MIN('Your debts'!$E$15,AY137))</f>
        <v/>
      </c>
      <c r="BA137" s="33">
        <f>AY137-AZ137</f>
        <v/>
      </c>
      <c r="BB137" s="33">
        <f>IF('Your debts'!$F$15="",0,MIN(BA137,MAX(0,MAX(0,'Your debts'!$C$19-(G137+L137+Q137+V137+AA137+AF137+AK137+AP137+AU137+AZ137))-(IF(AND('Your debts'!$F$6&lt;&gt;"",'Your debts'!$F$15&lt;&gt;"",'Your debts'!$F$6&lt;'Your debts'!$F$15),H137,0)+IF(AND('Your debts'!$F$7&lt;&gt;"",'Your debts'!$F$15&lt;&gt;"",'Your debts'!$F$7&lt;'Your debts'!$F$15),M137,0)+IF(AND('Your debts'!$F$8&lt;&gt;"",'Your debts'!$F$15&lt;&gt;"",'Your debts'!$F$8&lt;'Your debts'!$F$15),R137,0)+IF(AND('Your debts'!$F$9&lt;&gt;"",'Your debts'!$F$15&lt;&gt;"",'Your debts'!$F$9&lt;'Your debts'!$F$15),W137,0)+IF(AND('Your debts'!$F$10&lt;&gt;"",'Your debts'!$F$15&lt;&gt;"",'Your debts'!$F$10&lt;'Your debts'!$F$15),AB137,0)+IF(AND('Your debts'!$F$11&lt;&gt;"",'Your debts'!$F$15&lt;&gt;"",'Your debts'!$F$11&lt;'Your debts'!$F$15),AG137,0)+IF(AND('Your debts'!$F$12&lt;&gt;"",'Your debts'!$F$15&lt;&gt;"",'Your debts'!$F$12&lt;'Your debts'!$F$15),AL137,0)+IF(AND('Your debts'!$F$13&lt;&gt;"",'Your debts'!$F$15&lt;&gt;"",'Your debts'!$F$13&lt;'Your debts'!$F$15),AQ137,0)+IF(AND('Your debts'!$F$14&lt;&gt;"",'Your debts'!$F$15&lt;&gt;"",'Your debts'!$F$14&lt;'Your debts'!$F$15),AV137,0)))))</f>
        <v/>
      </c>
      <c r="BC137" s="33">
        <f>BA137-BB137</f>
        <v/>
      </c>
    </row>
    <row r="138">
      <c r="A138" s="30" t="n">
        <v>123</v>
      </c>
      <c r="B138" s="31">
        <f>EDATE($B$15,123)</f>
        <v/>
      </c>
      <c r="C138" s="32">
        <f>IF(J137&lt;=0,0,F138-J137)+IF(O137&lt;=0,0,K138-O137)+IF(T137&lt;=0,0,P138-T137)+IF(Y137&lt;=0,0,U138-Y137)+IF(AD137&lt;=0,0,Z138-AD137)+IF(AI137&lt;=0,0,AE138-AI137)+IF(AN137&lt;=0,0,AJ138-AN137)+IF(AS137&lt;=0,0,AO138-AS137)+IF(AX137&lt;=0,0,AT138-AX137)+IF(BC137&lt;=0,0,AY138-BC137)</f>
        <v/>
      </c>
      <c r="D138" s="32">
        <f>G138+I138+L138+N138+Q138+S138+V138+X138+AA138+AC138+AF138+AH138+AK138+AM138+AP138+AR138+AU138+AW138+AZ138+BB138</f>
        <v/>
      </c>
      <c r="E138" s="32">
        <f>J138+O138+T138+Y138+AD138+AI138+AN138+AS138+AX138+BC138</f>
        <v/>
      </c>
      <c r="F138" s="33">
        <f>IF(J137&lt;=0,0,ROUND(J137*(1+'Your debts'!$D$6/1200),2))</f>
        <v/>
      </c>
      <c r="G138" s="33">
        <f>IF(F138&lt;=0,0,MIN('Your debts'!$E$6,F138))</f>
        <v/>
      </c>
      <c r="H138" s="33">
        <f>F138-G138</f>
        <v/>
      </c>
      <c r="I138" s="33">
        <f>IF('Your debts'!$F$6="",0,MIN(H138,MAX(0,MAX(0,'Your debts'!$C$19-(G138+L138+Q138+V138+AA138+AF138+AK138+AP138+AU138+AZ138))-(IF(AND('Your debts'!$F$7&lt;&gt;"",'Your debts'!$F$6&lt;&gt;"",'Your debts'!$F$7&lt;'Your debts'!$F$6),M138,0)+IF(AND('Your debts'!$F$8&lt;&gt;"",'Your debts'!$F$6&lt;&gt;"",'Your debts'!$F$8&lt;'Your debts'!$F$6),R138,0)+IF(AND('Your debts'!$F$9&lt;&gt;"",'Your debts'!$F$6&lt;&gt;"",'Your debts'!$F$9&lt;'Your debts'!$F$6),W138,0)+IF(AND('Your debts'!$F$10&lt;&gt;"",'Your debts'!$F$6&lt;&gt;"",'Your debts'!$F$10&lt;'Your debts'!$F$6),AB138,0)+IF(AND('Your debts'!$F$11&lt;&gt;"",'Your debts'!$F$6&lt;&gt;"",'Your debts'!$F$11&lt;'Your debts'!$F$6),AG138,0)+IF(AND('Your debts'!$F$12&lt;&gt;"",'Your debts'!$F$6&lt;&gt;"",'Your debts'!$F$12&lt;'Your debts'!$F$6),AL138,0)+IF(AND('Your debts'!$F$13&lt;&gt;"",'Your debts'!$F$6&lt;&gt;"",'Your debts'!$F$13&lt;'Your debts'!$F$6),AQ138,0)+IF(AND('Your debts'!$F$14&lt;&gt;"",'Your debts'!$F$6&lt;&gt;"",'Your debts'!$F$14&lt;'Your debts'!$F$6),AV138,0)+IF(AND('Your debts'!$F$15&lt;&gt;"",'Your debts'!$F$6&lt;&gt;"",'Your debts'!$F$15&lt;'Your debts'!$F$6),BA138,0)))))</f>
        <v/>
      </c>
      <c r="J138" s="33">
        <f>H138-I138</f>
        <v/>
      </c>
      <c r="K138" s="33">
        <f>IF(O137&lt;=0,0,ROUND(O137*(1+'Your debts'!$D$7/1200),2))</f>
        <v/>
      </c>
      <c r="L138" s="33">
        <f>IF(K138&lt;=0,0,MIN('Your debts'!$E$7,K138))</f>
        <v/>
      </c>
      <c r="M138" s="33">
        <f>K138-L138</f>
        <v/>
      </c>
      <c r="N138" s="33">
        <f>IF('Your debts'!$F$7="",0,MIN(M138,MAX(0,MAX(0,'Your debts'!$C$19-(G138+L138+Q138+V138+AA138+AF138+AK138+AP138+AU138+AZ138))-(IF(AND('Your debts'!$F$6&lt;&gt;"",'Your debts'!$F$7&lt;&gt;"",'Your debts'!$F$6&lt;'Your debts'!$F$7),H138,0)+IF(AND('Your debts'!$F$8&lt;&gt;"",'Your debts'!$F$7&lt;&gt;"",'Your debts'!$F$8&lt;'Your debts'!$F$7),R138,0)+IF(AND('Your debts'!$F$9&lt;&gt;"",'Your debts'!$F$7&lt;&gt;"",'Your debts'!$F$9&lt;'Your debts'!$F$7),W138,0)+IF(AND('Your debts'!$F$10&lt;&gt;"",'Your debts'!$F$7&lt;&gt;"",'Your debts'!$F$10&lt;'Your debts'!$F$7),AB138,0)+IF(AND('Your debts'!$F$11&lt;&gt;"",'Your debts'!$F$7&lt;&gt;"",'Your debts'!$F$11&lt;'Your debts'!$F$7),AG138,0)+IF(AND('Your debts'!$F$12&lt;&gt;"",'Your debts'!$F$7&lt;&gt;"",'Your debts'!$F$12&lt;'Your debts'!$F$7),AL138,0)+IF(AND('Your debts'!$F$13&lt;&gt;"",'Your debts'!$F$7&lt;&gt;"",'Your debts'!$F$13&lt;'Your debts'!$F$7),AQ138,0)+IF(AND('Your debts'!$F$14&lt;&gt;"",'Your debts'!$F$7&lt;&gt;"",'Your debts'!$F$14&lt;'Your debts'!$F$7),AV138,0)+IF(AND('Your debts'!$F$15&lt;&gt;"",'Your debts'!$F$7&lt;&gt;"",'Your debts'!$F$15&lt;'Your debts'!$F$7),BA138,0)))))</f>
        <v/>
      </c>
      <c r="O138" s="33">
        <f>M138-N138</f>
        <v/>
      </c>
      <c r="P138" s="33">
        <f>IF(T137&lt;=0,0,ROUND(T137*(1+'Your debts'!$D$8/1200),2))</f>
        <v/>
      </c>
      <c r="Q138" s="33">
        <f>IF(P138&lt;=0,0,MIN('Your debts'!$E$8,P138))</f>
        <v/>
      </c>
      <c r="R138" s="33">
        <f>P138-Q138</f>
        <v/>
      </c>
      <c r="S138" s="33">
        <f>IF('Your debts'!$F$8="",0,MIN(R138,MAX(0,MAX(0,'Your debts'!$C$19-(G138+L138+Q138+V138+AA138+AF138+AK138+AP138+AU138+AZ138))-(IF(AND('Your debts'!$F$6&lt;&gt;"",'Your debts'!$F$8&lt;&gt;"",'Your debts'!$F$6&lt;'Your debts'!$F$8),H138,0)+IF(AND('Your debts'!$F$7&lt;&gt;"",'Your debts'!$F$8&lt;&gt;"",'Your debts'!$F$7&lt;'Your debts'!$F$8),M138,0)+IF(AND('Your debts'!$F$9&lt;&gt;"",'Your debts'!$F$8&lt;&gt;"",'Your debts'!$F$9&lt;'Your debts'!$F$8),W138,0)+IF(AND('Your debts'!$F$10&lt;&gt;"",'Your debts'!$F$8&lt;&gt;"",'Your debts'!$F$10&lt;'Your debts'!$F$8),AB138,0)+IF(AND('Your debts'!$F$11&lt;&gt;"",'Your debts'!$F$8&lt;&gt;"",'Your debts'!$F$11&lt;'Your debts'!$F$8),AG138,0)+IF(AND('Your debts'!$F$12&lt;&gt;"",'Your debts'!$F$8&lt;&gt;"",'Your debts'!$F$12&lt;'Your debts'!$F$8),AL138,0)+IF(AND('Your debts'!$F$13&lt;&gt;"",'Your debts'!$F$8&lt;&gt;"",'Your debts'!$F$13&lt;'Your debts'!$F$8),AQ138,0)+IF(AND('Your debts'!$F$14&lt;&gt;"",'Your debts'!$F$8&lt;&gt;"",'Your debts'!$F$14&lt;'Your debts'!$F$8),AV138,0)+IF(AND('Your debts'!$F$15&lt;&gt;"",'Your debts'!$F$8&lt;&gt;"",'Your debts'!$F$15&lt;'Your debts'!$F$8),BA138,0)))))</f>
        <v/>
      </c>
      <c r="T138" s="33">
        <f>R138-S138</f>
        <v/>
      </c>
      <c r="U138" s="33">
        <f>IF(Y137&lt;=0,0,ROUND(Y137*(1+'Your debts'!$D$9/1200),2))</f>
        <v/>
      </c>
      <c r="V138" s="33">
        <f>IF(U138&lt;=0,0,MIN('Your debts'!$E$9,U138))</f>
        <v/>
      </c>
      <c r="W138" s="33">
        <f>U138-V138</f>
        <v/>
      </c>
      <c r="X138" s="33">
        <f>IF('Your debts'!$F$9="",0,MIN(W138,MAX(0,MAX(0,'Your debts'!$C$19-(G138+L138+Q138+V138+AA138+AF138+AK138+AP138+AU138+AZ138))-(IF(AND('Your debts'!$F$6&lt;&gt;"",'Your debts'!$F$9&lt;&gt;"",'Your debts'!$F$6&lt;'Your debts'!$F$9),H138,0)+IF(AND('Your debts'!$F$7&lt;&gt;"",'Your debts'!$F$9&lt;&gt;"",'Your debts'!$F$7&lt;'Your debts'!$F$9),M138,0)+IF(AND('Your debts'!$F$8&lt;&gt;"",'Your debts'!$F$9&lt;&gt;"",'Your debts'!$F$8&lt;'Your debts'!$F$9),R138,0)+IF(AND('Your debts'!$F$10&lt;&gt;"",'Your debts'!$F$9&lt;&gt;"",'Your debts'!$F$10&lt;'Your debts'!$F$9),AB138,0)+IF(AND('Your debts'!$F$11&lt;&gt;"",'Your debts'!$F$9&lt;&gt;"",'Your debts'!$F$11&lt;'Your debts'!$F$9),AG138,0)+IF(AND('Your debts'!$F$12&lt;&gt;"",'Your debts'!$F$9&lt;&gt;"",'Your debts'!$F$12&lt;'Your debts'!$F$9),AL138,0)+IF(AND('Your debts'!$F$13&lt;&gt;"",'Your debts'!$F$9&lt;&gt;"",'Your debts'!$F$13&lt;'Your debts'!$F$9),AQ138,0)+IF(AND('Your debts'!$F$14&lt;&gt;"",'Your debts'!$F$9&lt;&gt;"",'Your debts'!$F$14&lt;'Your debts'!$F$9),AV138,0)+IF(AND('Your debts'!$F$15&lt;&gt;"",'Your debts'!$F$9&lt;&gt;"",'Your debts'!$F$15&lt;'Your debts'!$F$9),BA138,0)))))</f>
        <v/>
      </c>
      <c r="Y138" s="33">
        <f>W138-X138</f>
        <v/>
      </c>
      <c r="Z138" s="33">
        <f>IF(AD137&lt;=0,0,ROUND(AD137*(1+'Your debts'!$D$10/1200),2))</f>
        <v/>
      </c>
      <c r="AA138" s="33">
        <f>IF(Z138&lt;=0,0,MIN('Your debts'!$E$10,Z138))</f>
        <v/>
      </c>
      <c r="AB138" s="33">
        <f>Z138-AA138</f>
        <v/>
      </c>
      <c r="AC138" s="33">
        <f>IF('Your debts'!$F$10="",0,MIN(AB138,MAX(0,MAX(0,'Your debts'!$C$19-(G138+L138+Q138+V138+AA138+AF138+AK138+AP138+AU138+AZ138))-(IF(AND('Your debts'!$F$6&lt;&gt;"",'Your debts'!$F$10&lt;&gt;"",'Your debts'!$F$6&lt;'Your debts'!$F$10),H138,0)+IF(AND('Your debts'!$F$7&lt;&gt;"",'Your debts'!$F$10&lt;&gt;"",'Your debts'!$F$7&lt;'Your debts'!$F$10),M138,0)+IF(AND('Your debts'!$F$8&lt;&gt;"",'Your debts'!$F$10&lt;&gt;"",'Your debts'!$F$8&lt;'Your debts'!$F$10),R138,0)+IF(AND('Your debts'!$F$9&lt;&gt;"",'Your debts'!$F$10&lt;&gt;"",'Your debts'!$F$9&lt;'Your debts'!$F$10),W138,0)+IF(AND('Your debts'!$F$11&lt;&gt;"",'Your debts'!$F$10&lt;&gt;"",'Your debts'!$F$11&lt;'Your debts'!$F$10),AG138,0)+IF(AND('Your debts'!$F$12&lt;&gt;"",'Your debts'!$F$10&lt;&gt;"",'Your debts'!$F$12&lt;'Your debts'!$F$10),AL138,0)+IF(AND('Your debts'!$F$13&lt;&gt;"",'Your debts'!$F$10&lt;&gt;"",'Your debts'!$F$13&lt;'Your debts'!$F$10),AQ138,0)+IF(AND('Your debts'!$F$14&lt;&gt;"",'Your debts'!$F$10&lt;&gt;"",'Your debts'!$F$14&lt;'Your debts'!$F$10),AV138,0)+IF(AND('Your debts'!$F$15&lt;&gt;"",'Your debts'!$F$10&lt;&gt;"",'Your debts'!$F$15&lt;'Your debts'!$F$10),BA138,0)))))</f>
        <v/>
      </c>
      <c r="AD138" s="33">
        <f>AB138-AC138</f>
        <v/>
      </c>
      <c r="AE138" s="33">
        <f>IF(AI137&lt;=0,0,ROUND(AI137*(1+'Your debts'!$D$11/1200),2))</f>
        <v/>
      </c>
      <c r="AF138" s="33">
        <f>IF(AE138&lt;=0,0,MIN('Your debts'!$E$11,AE138))</f>
        <v/>
      </c>
      <c r="AG138" s="33">
        <f>AE138-AF138</f>
        <v/>
      </c>
      <c r="AH138" s="33">
        <f>IF('Your debts'!$F$11="",0,MIN(AG138,MAX(0,MAX(0,'Your debts'!$C$19-(G138+L138+Q138+V138+AA138+AF138+AK138+AP138+AU138+AZ138))-(IF(AND('Your debts'!$F$6&lt;&gt;"",'Your debts'!$F$11&lt;&gt;"",'Your debts'!$F$6&lt;'Your debts'!$F$11),H138,0)+IF(AND('Your debts'!$F$7&lt;&gt;"",'Your debts'!$F$11&lt;&gt;"",'Your debts'!$F$7&lt;'Your debts'!$F$11),M138,0)+IF(AND('Your debts'!$F$8&lt;&gt;"",'Your debts'!$F$11&lt;&gt;"",'Your debts'!$F$8&lt;'Your debts'!$F$11),R138,0)+IF(AND('Your debts'!$F$9&lt;&gt;"",'Your debts'!$F$11&lt;&gt;"",'Your debts'!$F$9&lt;'Your debts'!$F$11),W138,0)+IF(AND('Your debts'!$F$10&lt;&gt;"",'Your debts'!$F$11&lt;&gt;"",'Your debts'!$F$10&lt;'Your debts'!$F$11),AB138,0)+IF(AND('Your debts'!$F$12&lt;&gt;"",'Your debts'!$F$11&lt;&gt;"",'Your debts'!$F$12&lt;'Your debts'!$F$11),AL138,0)+IF(AND('Your debts'!$F$13&lt;&gt;"",'Your debts'!$F$11&lt;&gt;"",'Your debts'!$F$13&lt;'Your debts'!$F$11),AQ138,0)+IF(AND('Your debts'!$F$14&lt;&gt;"",'Your debts'!$F$11&lt;&gt;"",'Your debts'!$F$14&lt;'Your debts'!$F$11),AV138,0)+IF(AND('Your debts'!$F$15&lt;&gt;"",'Your debts'!$F$11&lt;&gt;"",'Your debts'!$F$15&lt;'Your debts'!$F$11),BA138,0)))))</f>
        <v/>
      </c>
      <c r="AI138" s="33">
        <f>AG138-AH138</f>
        <v/>
      </c>
      <c r="AJ138" s="33">
        <f>IF(AN137&lt;=0,0,ROUND(AN137*(1+'Your debts'!$D$12/1200),2))</f>
        <v/>
      </c>
      <c r="AK138" s="33">
        <f>IF(AJ138&lt;=0,0,MIN('Your debts'!$E$12,AJ138))</f>
        <v/>
      </c>
      <c r="AL138" s="33">
        <f>AJ138-AK138</f>
        <v/>
      </c>
      <c r="AM138" s="33">
        <f>IF('Your debts'!$F$12="",0,MIN(AL138,MAX(0,MAX(0,'Your debts'!$C$19-(G138+L138+Q138+V138+AA138+AF138+AK138+AP138+AU138+AZ138))-(IF(AND('Your debts'!$F$6&lt;&gt;"",'Your debts'!$F$12&lt;&gt;"",'Your debts'!$F$6&lt;'Your debts'!$F$12),H138,0)+IF(AND('Your debts'!$F$7&lt;&gt;"",'Your debts'!$F$12&lt;&gt;"",'Your debts'!$F$7&lt;'Your debts'!$F$12),M138,0)+IF(AND('Your debts'!$F$8&lt;&gt;"",'Your debts'!$F$12&lt;&gt;"",'Your debts'!$F$8&lt;'Your debts'!$F$12),R138,0)+IF(AND('Your debts'!$F$9&lt;&gt;"",'Your debts'!$F$12&lt;&gt;"",'Your debts'!$F$9&lt;'Your debts'!$F$12),W138,0)+IF(AND('Your debts'!$F$10&lt;&gt;"",'Your debts'!$F$12&lt;&gt;"",'Your debts'!$F$10&lt;'Your debts'!$F$12),AB138,0)+IF(AND('Your debts'!$F$11&lt;&gt;"",'Your debts'!$F$12&lt;&gt;"",'Your debts'!$F$11&lt;'Your debts'!$F$12),AG138,0)+IF(AND('Your debts'!$F$13&lt;&gt;"",'Your debts'!$F$12&lt;&gt;"",'Your debts'!$F$13&lt;'Your debts'!$F$12),AQ138,0)+IF(AND('Your debts'!$F$14&lt;&gt;"",'Your debts'!$F$12&lt;&gt;"",'Your debts'!$F$14&lt;'Your debts'!$F$12),AV138,0)+IF(AND('Your debts'!$F$15&lt;&gt;"",'Your debts'!$F$12&lt;&gt;"",'Your debts'!$F$15&lt;'Your debts'!$F$12),BA138,0)))))</f>
        <v/>
      </c>
      <c r="AN138" s="33">
        <f>AL138-AM138</f>
        <v/>
      </c>
      <c r="AO138" s="33">
        <f>IF(AS137&lt;=0,0,ROUND(AS137*(1+'Your debts'!$D$13/1200),2))</f>
        <v/>
      </c>
      <c r="AP138" s="33">
        <f>IF(AO138&lt;=0,0,MIN('Your debts'!$E$13,AO138))</f>
        <v/>
      </c>
      <c r="AQ138" s="33">
        <f>AO138-AP138</f>
        <v/>
      </c>
      <c r="AR138" s="33">
        <f>IF('Your debts'!$F$13="",0,MIN(AQ138,MAX(0,MAX(0,'Your debts'!$C$19-(G138+L138+Q138+V138+AA138+AF138+AK138+AP138+AU138+AZ138))-(IF(AND('Your debts'!$F$6&lt;&gt;"",'Your debts'!$F$13&lt;&gt;"",'Your debts'!$F$6&lt;'Your debts'!$F$13),H138,0)+IF(AND('Your debts'!$F$7&lt;&gt;"",'Your debts'!$F$13&lt;&gt;"",'Your debts'!$F$7&lt;'Your debts'!$F$13),M138,0)+IF(AND('Your debts'!$F$8&lt;&gt;"",'Your debts'!$F$13&lt;&gt;"",'Your debts'!$F$8&lt;'Your debts'!$F$13),R138,0)+IF(AND('Your debts'!$F$9&lt;&gt;"",'Your debts'!$F$13&lt;&gt;"",'Your debts'!$F$9&lt;'Your debts'!$F$13),W138,0)+IF(AND('Your debts'!$F$10&lt;&gt;"",'Your debts'!$F$13&lt;&gt;"",'Your debts'!$F$10&lt;'Your debts'!$F$13),AB138,0)+IF(AND('Your debts'!$F$11&lt;&gt;"",'Your debts'!$F$13&lt;&gt;"",'Your debts'!$F$11&lt;'Your debts'!$F$13),AG138,0)+IF(AND('Your debts'!$F$12&lt;&gt;"",'Your debts'!$F$13&lt;&gt;"",'Your debts'!$F$12&lt;'Your debts'!$F$13),AL138,0)+IF(AND('Your debts'!$F$14&lt;&gt;"",'Your debts'!$F$13&lt;&gt;"",'Your debts'!$F$14&lt;'Your debts'!$F$13),AV138,0)+IF(AND('Your debts'!$F$15&lt;&gt;"",'Your debts'!$F$13&lt;&gt;"",'Your debts'!$F$15&lt;'Your debts'!$F$13),BA138,0)))))</f>
        <v/>
      </c>
      <c r="AS138" s="33">
        <f>AQ138-AR138</f>
        <v/>
      </c>
      <c r="AT138" s="33">
        <f>IF(AX137&lt;=0,0,ROUND(AX137*(1+'Your debts'!$D$14/1200),2))</f>
        <v/>
      </c>
      <c r="AU138" s="33">
        <f>IF(AT138&lt;=0,0,MIN('Your debts'!$E$14,AT138))</f>
        <v/>
      </c>
      <c r="AV138" s="33">
        <f>AT138-AU138</f>
        <v/>
      </c>
      <c r="AW138" s="33">
        <f>IF('Your debts'!$F$14="",0,MIN(AV138,MAX(0,MAX(0,'Your debts'!$C$19-(G138+L138+Q138+V138+AA138+AF138+AK138+AP138+AU138+AZ138))-(IF(AND('Your debts'!$F$6&lt;&gt;"",'Your debts'!$F$14&lt;&gt;"",'Your debts'!$F$6&lt;'Your debts'!$F$14),H138,0)+IF(AND('Your debts'!$F$7&lt;&gt;"",'Your debts'!$F$14&lt;&gt;"",'Your debts'!$F$7&lt;'Your debts'!$F$14),M138,0)+IF(AND('Your debts'!$F$8&lt;&gt;"",'Your debts'!$F$14&lt;&gt;"",'Your debts'!$F$8&lt;'Your debts'!$F$14),R138,0)+IF(AND('Your debts'!$F$9&lt;&gt;"",'Your debts'!$F$14&lt;&gt;"",'Your debts'!$F$9&lt;'Your debts'!$F$14),W138,0)+IF(AND('Your debts'!$F$10&lt;&gt;"",'Your debts'!$F$14&lt;&gt;"",'Your debts'!$F$10&lt;'Your debts'!$F$14),AB138,0)+IF(AND('Your debts'!$F$11&lt;&gt;"",'Your debts'!$F$14&lt;&gt;"",'Your debts'!$F$11&lt;'Your debts'!$F$14),AG138,0)+IF(AND('Your debts'!$F$12&lt;&gt;"",'Your debts'!$F$14&lt;&gt;"",'Your debts'!$F$12&lt;'Your debts'!$F$14),AL138,0)+IF(AND('Your debts'!$F$13&lt;&gt;"",'Your debts'!$F$14&lt;&gt;"",'Your debts'!$F$13&lt;'Your debts'!$F$14),AQ138,0)+IF(AND('Your debts'!$F$15&lt;&gt;"",'Your debts'!$F$14&lt;&gt;"",'Your debts'!$F$15&lt;'Your debts'!$F$14),BA138,0)))))</f>
        <v/>
      </c>
      <c r="AX138" s="33">
        <f>AV138-AW138</f>
        <v/>
      </c>
      <c r="AY138" s="33">
        <f>IF(BC137&lt;=0,0,ROUND(BC137*(1+'Your debts'!$D$15/1200),2))</f>
        <v/>
      </c>
      <c r="AZ138" s="33">
        <f>IF(AY138&lt;=0,0,MIN('Your debts'!$E$15,AY138))</f>
        <v/>
      </c>
      <c r="BA138" s="33">
        <f>AY138-AZ138</f>
        <v/>
      </c>
      <c r="BB138" s="33">
        <f>IF('Your debts'!$F$15="",0,MIN(BA138,MAX(0,MAX(0,'Your debts'!$C$19-(G138+L138+Q138+V138+AA138+AF138+AK138+AP138+AU138+AZ138))-(IF(AND('Your debts'!$F$6&lt;&gt;"",'Your debts'!$F$15&lt;&gt;"",'Your debts'!$F$6&lt;'Your debts'!$F$15),H138,0)+IF(AND('Your debts'!$F$7&lt;&gt;"",'Your debts'!$F$15&lt;&gt;"",'Your debts'!$F$7&lt;'Your debts'!$F$15),M138,0)+IF(AND('Your debts'!$F$8&lt;&gt;"",'Your debts'!$F$15&lt;&gt;"",'Your debts'!$F$8&lt;'Your debts'!$F$15),R138,0)+IF(AND('Your debts'!$F$9&lt;&gt;"",'Your debts'!$F$15&lt;&gt;"",'Your debts'!$F$9&lt;'Your debts'!$F$15),W138,0)+IF(AND('Your debts'!$F$10&lt;&gt;"",'Your debts'!$F$15&lt;&gt;"",'Your debts'!$F$10&lt;'Your debts'!$F$15),AB138,0)+IF(AND('Your debts'!$F$11&lt;&gt;"",'Your debts'!$F$15&lt;&gt;"",'Your debts'!$F$11&lt;'Your debts'!$F$15),AG138,0)+IF(AND('Your debts'!$F$12&lt;&gt;"",'Your debts'!$F$15&lt;&gt;"",'Your debts'!$F$12&lt;'Your debts'!$F$15),AL138,0)+IF(AND('Your debts'!$F$13&lt;&gt;"",'Your debts'!$F$15&lt;&gt;"",'Your debts'!$F$13&lt;'Your debts'!$F$15),AQ138,0)+IF(AND('Your debts'!$F$14&lt;&gt;"",'Your debts'!$F$15&lt;&gt;"",'Your debts'!$F$14&lt;'Your debts'!$F$15),AV138,0)))))</f>
        <v/>
      </c>
      <c r="BC138" s="33">
        <f>BA138-BB138</f>
        <v/>
      </c>
    </row>
    <row r="139">
      <c r="A139" s="30" t="n">
        <v>124</v>
      </c>
      <c r="B139" s="31">
        <f>EDATE($B$15,124)</f>
        <v/>
      </c>
      <c r="C139" s="32">
        <f>IF(J138&lt;=0,0,F139-J138)+IF(O138&lt;=0,0,K139-O138)+IF(T138&lt;=0,0,P139-T138)+IF(Y138&lt;=0,0,U139-Y138)+IF(AD138&lt;=0,0,Z139-AD138)+IF(AI138&lt;=0,0,AE139-AI138)+IF(AN138&lt;=0,0,AJ139-AN138)+IF(AS138&lt;=0,0,AO139-AS138)+IF(AX138&lt;=0,0,AT139-AX138)+IF(BC138&lt;=0,0,AY139-BC138)</f>
        <v/>
      </c>
      <c r="D139" s="32">
        <f>G139+I139+L139+N139+Q139+S139+V139+X139+AA139+AC139+AF139+AH139+AK139+AM139+AP139+AR139+AU139+AW139+AZ139+BB139</f>
        <v/>
      </c>
      <c r="E139" s="32">
        <f>J139+O139+T139+Y139+AD139+AI139+AN139+AS139+AX139+BC139</f>
        <v/>
      </c>
      <c r="F139" s="33">
        <f>IF(J138&lt;=0,0,ROUND(J138*(1+'Your debts'!$D$6/1200),2))</f>
        <v/>
      </c>
      <c r="G139" s="33">
        <f>IF(F139&lt;=0,0,MIN('Your debts'!$E$6,F139))</f>
        <v/>
      </c>
      <c r="H139" s="33">
        <f>F139-G139</f>
        <v/>
      </c>
      <c r="I139" s="33">
        <f>IF('Your debts'!$F$6="",0,MIN(H139,MAX(0,MAX(0,'Your debts'!$C$19-(G139+L139+Q139+V139+AA139+AF139+AK139+AP139+AU139+AZ139))-(IF(AND('Your debts'!$F$7&lt;&gt;"",'Your debts'!$F$6&lt;&gt;"",'Your debts'!$F$7&lt;'Your debts'!$F$6),M139,0)+IF(AND('Your debts'!$F$8&lt;&gt;"",'Your debts'!$F$6&lt;&gt;"",'Your debts'!$F$8&lt;'Your debts'!$F$6),R139,0)+IF(AND('Your debts'!$F$9&lt;&gt;"",'Your debts'!$F$6&lt;&gt;"",'Your debts'!$F$9&lt;'Your debts'!$F$6),W139,0)+IF(AND('Your debts'!$F$10&lt;&gt;"",'Your debts'!$F$6&lt;&gt;"",'Your debts'!$F$10&lt;'Your debts'!$F$6),AB139,0)+IF(AND('Your debts'!$F$11&lt;&gt;"",'Your debts'!$F$6&lt;&gt;"",'Your debts'!$F$11&lt;'Your debts'!$F$6),AG139,0)+IF(AND('Your debts'!$F$12&lt;&gt;"",'Your debts'!$F$6&lt;&gt;"",'Your debts'!$F$12&lt;'Your debts'!$F$6),AL139,0)+IF(AND('Your debts'!$F$13&lt;&gt;"",'Your debts'!$F$6&lt;&gt;"",'Your debts'!$F$13&lt;'Your debts'!$F$6),AQ139,0)+IF(AND('Your debts'!$F$14&lt;&gt;"",'Your debts'!$F$6&lt;&gt;"",'Your debts'!$F$14&lt;'Your debts'!$F$6),AV139,0)+IF(AND('Your debts'!$F$15&lt;&gt;"",'Your debts'!$F$6&lt;&gt;"",'Your debts'!$F$15&lt;'Your debts'!$F$6),BA139,0)))))</f>
        <v/>
      </c>
      <c r="J139" s="33">
        <f>H139-I139</f>
        <v/>
      </c>
      <c r="K139" s="33">
        <f>IF(O138&lt;=0,0,ROUND(O138*(1+'Your debts'!$D$7/1200),2))</f>
        <v/>
      </c>
      <c r="L139" s="33">
        <f>IF(K139&lt;=0,0,MIN('Your debts'!$E$7,K139))</f>
        <v/>
      </c>
      <c r="M139" s="33">
        <f>K139-L139</f>
        <v/>
      </c>
      <c r="N139" s="33">
        <f>IF('Your debts'!$F$7="",0,MIN(M139,MAX(0,MAX(0,'Your debts'!$C$19-(G139+L139+Q139+V139+AA139+AF139+AK139+AP139+AU139+AZ139))-(IF(AND('Your debts'!$F$6&lt;&gt;"",'Your debts'!$F$7&lt;&gt;"",'Your debts'!$F$6&lt;'Your debts'!$F$7),H139,0)+IF(AND('Your debts'!$F$8&lt;&gt;"",'Your debts'!$F$7&lt;&gt;"",'Your debts'!$F$8&lt;'Your debts'!$F$7),R139,0)+IF(AND('Your debts'!$F$9&lt;&gt;"",'Your debts'!$F$7&lt;&gt;"",'Your debts'!$F$9&lt;'Your debts'!$F$7),W139,0)+IF(AND('Your debts'!$F$10&lt;&gt;"",'Your debts'!$F$7&lt;&gt;"",'Your debts'!$F$10&lt;'Your debts'!$F$7),AB139,0)+IF(AND('Your debts'!$F$11&lt;&gt;"",'Your debts'!$F$7&lt;&gt;"",'Your debts'!$F$11&lt;'Your debts'!$F$7),AG139,0)+IF(AND('Your debts'!$F$12&lt;&gt;"",'Your debts'!$F$7&lt;&gt;"",'Your debts'!$F$12&lt;'Your debts'!$F$7),AL139,0)+IF(AND('Your debts'!$F$13&lt;&gt;"",'Your debts'!$F$7&lt;&gt;"",'Your debts'!$F$13&lt;'Your debts'!$F$7),AQ139,0)+IF(AND('Your debts'!$F$14&lt;&gt;"",'Your debts'!$F$7&lt;&gt;"",'Your debts'!$F$14&lt;'Your debts'!$F$7),AV139,0)+IF(AND('Your debts'!$F$15&lt;&gt;"",'Your debts'!$F$7&lt;&gt;"",'Your debts'!$F$15&lt;'Your debts'!$F$7),BA139,0)))))</f>
        <v/>
      </c>
      <c r="O139" s="33">
        <f>M139-N139</f>
        <v/>
      </c>
      <c r="P139" s="33">
        <f>IF(T138&lt;=0,0,ROUND(T138*(1+'Your debts'!$D$8/1200),2))</f>
        <v/>
      </c>
      <c r="Q139" s="33">
        <f>IF(P139&lt;=0,0,MIN('Your debts'!$E$8,P139))</f>
        <v/>
      </c>
      <c r="R139" s="33">
        <f>P139-Q139</f>
        <v/>
      </c>
      <c r="S139" s="33">
        <f>IF('Your debts'!$F$8="",0,MIN(R139,MAX(0,MAX(0,'Your debts'!$C$19-(G139+L139+Q139+V139+AA139+AF139+AK139+AP139+AU139+AZ139))-(IF(AND('Your debts'!$F$6&lt;&gt;"",'Your debts'!$F$8&lt;&gt;"",'Your debts'!$F$6&lt;'Your debts'!$F$8),H139,0)+IF(AND('Your debts'!$F$7&lt;&gt;"",'Your debts'!$F$8&lt;&gt;"",'Your debts'!$F$7&lt;'Your debts'!$F$8),M139,0)+IF(AND('Your debts'!$F$9&lt;&gt;"",'Your debts'!$F$8&lt;&gt;"",'Your debts'!$F$9&lt;'Your debts'!$F$8),W139,0)+IF(AND('Your debts'!$F$10&lt;&gt;"",'Your debts'!$F$8&lt;&gt;"",'Your debts'!$F$10&lt;'Your debts'!$F$8),AB139,0)+IF(AND('Your debts'!$F$11&lt;&gt;"",'Your debts'!$F$8&lt;&gt;"",'Your debts'!$F$11&lt;'Your debts'!$F$8),AG139,0)+IF(AND('Your debts'!$F$12&lt;&gt;"",'Your debts'!$F$8&lt;&gt;"",'Your debts'!$F$12&lt;'Your debts'!$F$8),AL139,0)+IF(AND('Your debts'!$F$13&lt;&gt;"",'Your debts'!$F$8&lt;&gt;"",'Your debts'!$F$13&lt;'Your debts'!$F$8),AQ139,0)+IF(AND('Your debts'!$F$14&lt;&gt;"",'Your debts'!$F$8&lt;&gt;"",'Your debts'!$F$14&lt;'Your debts'!$F$8),AV139,0)+IF(AND('Your debts'!$F$15&lt;&gt;"",'Your debts'!$F$8&lt;&gt;"",'Your debts'!$F$15&lt;'Your debts'!$F$8),BA139,0)))))</f>
        <v/>
      </c>
      <c r="T139" s="33">
        <f>R139-S139</f>
        <v/>
      </c>
      <c r="U139" s="33">
        <f>IF(Y138&lt;=0,0,ROUND(Y138*(1+'Your debts'!$D$9/1200),2))</f>
        <v/>
      </c>
      <c r="V139" s="33">
        <f>IF(U139&lt;=0,0,MIN('Your debts'!$E$9,U139))</f>
        <v/>
      </c>
      <c r="W139" s="33">
        <f>U139-V139</f>
        <v/>
      </c>
      <c r="X139" s="33">
        <f>IF('Your debts'!$F$9="",0,MIN(W139,MAX(0,MAX(0,'Your debts'!$C$19-(G139+L139+Q139+V139+AA139+AF139+AK139+AP139+AU139+AZ139))-(IF(AND('Your debts'!$F$6&lt;&gt;"",'Your debts'!$F$9&lt;&gt;"",'Your debts'!$F$6&lt;'Your debts'!$F$9),H139,0)+IF(AND('Your debts'!$F$7&lt;&gt;"",'Your debts'!$F$9&lt;&gt;"",'Your debts'!$F$7&lt;'Your debts'!$F$9),M139,0)+IF(AND('Your debts'!$F$8&lt;&gt;"",'Your debts'!$F$9&lt;&gt;"",'Your debts'!$F$8&lt;'Your debts'!$F$9),R139,0)+IF(AND('Your debts'!$F$10&lt;&gt;"",'Your debts'!$F$9&lt;&gt;"",'Your debts'!$F$10&lt;'Your debts'!$F$9),AB139,0)+IF(AND('Your debts'!$F$11&lt;&gt;"",'Your debts'!$F$9&lt;&gt;"",'Your debts'!$F$11&lt;'Your debts'!$F$9),AG139,0)+IF(AND('Your debts'!$F$12&lt;&gt;"",'Your debts'!$F$9&lt;&gt;"",'Your debts'!$F$12&lt;'Your debts'!$F$9),AL139,0)+IF(AND('Your debts'!$F$13&lt;&gt;"",'Your debts'!$F$9&lt;&gt;"",'Your debts'!$F$13&lt;'Your debts'!$F$9),AQ139,0)+IF(AND('Your debts'!$F$14&lt;&gt;"",'Your debts'!$F$9&lt;&gt;"",'Your debts'!$F$14&lt;'Your debts'!$F$9),AV139,0)+IF(AND('Your debts'!$F$15&lt;&gt;"",'Your debts'!$F$9&lt;&gt;"",'Your debts'!$F$15&lt;'Your debts'!$F$9),BA139,0)))))</f>
        <v/>
      </c>
      <c r="Y139" s="33">
        <f>W139-X139</f>
        <v/>
      </c>
      <c r="Z139" s="33">
        <f>IF(AD138&lt;=0,0,ROUND(AD138*(1+'Your debts'!$D$10/1200),2))</f>
        <v/>
      </c>
      <c r="AA139" s="33">
        <f>IF(Z139&lt;=0,0,MIN('Your debts'!$E$10,Z139))</f>
        <v/>
      </c>
      <c r="AB139" s="33">
        <f>Z139-AA139</f>
        <v/>
      </c>
      <c r="AC139" s="33">
        <f>IF('Your debts'!$F$10="",0,MIN(AB139,MAX(0,MAX(0,'Your debts'!$C$19-(G139+L139+Q139+V139+AA139+AF139+AK139+AP139+AU139+AZ139))-(IF(AND('Your debts'!$F$6&lt;&gt;"",'Your debts'!$F$10&lt;&gt;"",'Your debts'!$F$6&lt;'Your debts'!$F$10),H139,0)+IF(AND('Your debts'!$F$7&lt;&gt;"",'Your debts'!$F$10&lt;&gt;"",'Your debts'!$F$7&lt;'Your debts'!$F$10),M139,0)+IF(AND('Your debts'!$F$8&lt;&gt;"",'Your debts'!$F$10&lt;&gt;"",'Your debts'!$F$8&lt;'Your debts'!$F$10),R139,0)+IF(AND('Your debts'!$F$9&lt;&gt;"",'Your debts'!$F$10&lt;&gt;"",'Your debts'!$F$9&lt;'Your debts'!$F$10),W139,0)+IF(AND('Your debts'!$F$11&lt;&gt;"",'Your debts'!$F$10&lt;&gt;"",'Your debts'!$F$11&lt;'Your debts'!$F$10),AG139,0)+IF(AND('Your debts'!$F$12&lt;&gt;"",'Your debts'!$F$10&lt;&gt;"",'Your debts'!$F$12&lt;'Your debts'!$F$10),AL139,0)+IF(AND('Your debts'!$F$13&lt;&gt;"",'Your debts'!$F$10&lt;&gt;"",'Your debts'!$F$13&lt;'Your debts'!$F$10),AQ139,0)+IF(AND('Your debts'!$F$14&lt;&gt;"",'Your debts'!$F$10&lt;&gt;"",'Your debts'!$F$14&lt;'Your debts'!$F$10),AV139,0)+IF(AND('Your debts'!$F$15&lt;&gt;"",'Your debts'!$F$10&lt;&gt;"",'Your debts'!$F$15&lt;'Your debts'!$F$10),BA139,0)))))</f>
        <v/>
      </c>
      <c r="AD139" s="33">
        <f>AB139-AC139</f>
        <v/>
      </c>
      <c r="AE139" s="33">
        <f>IF(AI138&lt;=0,0,ROUND(AI138*(1+'Your debts'!$D$11/1200),2))</f>
        <v/>
      </c>
      <c r="AF139" s="33">
        <f>IF(AE139&lt;=0,0,MIN('Your debts'!$E$11,AE139))</f>
        <v/>
      </c>
      <c r="AG139" s="33">
        <f>AE139-AF139</f>
        <v/>
      </c>
      <c r="AH139" s="33">
        <f>IF('Your debts'!$F$11="",0,MIN(AG139,MAX(0,MAX(0,'Your debts'!$C$19-(G139+L139+Q139+V139+AA139+AF139+AK139+AP139+AU139+AZ139))-(IF(AND('Your debts'!$F$6&lt;&gt;"",'Your debts'!$F$11&lt;&gt;"",'Your debts'!$F$6&lt;'Your debts'!$F$11),H139,0)+IF(AND('Your debts'!$F$7&lt;&gt;"",'Your debts'!$F$11&lt;&gt;"",'Your debts'!$F$7&lt;'Your debts'!$F$11),M139,0)+IF(AND('Your debts'!$F$8&lt;&gt;"",'Your debts'!$F$11&lt;&gt;"",'Your debts'!$F$8&lt;'Your debts'!$F$11),R139,0)+IF(AND('Your debts'!$F$9&lt;&gt;"",'Your debts'!$F$11&lt;&gt;"",'Your debts'!$F$9&lt;'Your debts'!$F$11),W139,0)+IF(AND('Your debts'!$F$10&lt;&gt;"",'Your debts'!$F$11&lt;&gt;"",'Your debts'!$F$10&lt;'Your debts'!$F$11),AB139,0)+IF(AND('Your debts'!$F$12&lt;&gt;"",'Your debts'!$F$11&lt;&gt;"",'Your debts'!$F$12&lt;'Your debts'!$F$11),AL139,0)+IF(AND('Your debts'!$F$13&lt;&gt;"",'Your debts'!$F$11&lt;&gt;"",'Your debts'!$F$13&lt;'Your debts'!$F$11),AQ139,0)+IF(AND('Your debts'!$F$14&lt;&gt;"",'Your debts'!$F$11&lt;&gt;"",'Your debts'!$F$14&lt;'Your debts'!$F$11),AV139,0)+IF(AND('Your debts'!$F$15&lt;&gt;"",'Your debts'!$F$11&lt;&gt;"",'Your debts'!$F$15&lt;'Your debts'!$F$11),BA139,0)))))</f>
        <v/>
      </c>
      <c r="AI139" s="33">
        <f>AG139-AH139</f>
        <v/>
      </c>
      <c r="AJ139" s="33">
        <f>IF(AN138&lt;=0,0,ROUND(AN138*(1+'Your debts'!$D$12/1200),2))</f>
        <v/>
      </c>
      <c r="AK139" s="33">
        <f>IF(AJ139&lt;=0,0,MIN('Your debts'!$E$12,AJ139))</f>
        <v/>
      </c>
      <c r="AL139" s="33">
        <f>AJ139-AK139</f>
        <v/>
      </c>
      <c r="AM139" s="33">
        <f>IF('Your debts'!$F$12="",0,MIN(AL139,MAX(0,MAX(0,'Your debts'!$C$19-(G139+L139+Q139+V139+AA139+AF139+AK139+AP139+AU139+AZ139))-(IF(AND('Your debts'!$F$6&lt;&gt;"",'Your debts'!$F$12&lt;&gt;"",'Your debts'!$F$6&lt;'Your debts'!$F$12),H139,0)+IF(AND('Your debts'!$F$7&lt;&gt;"",'Your debts'!$F$12&lt;&gt;"",'Your debts'!$F$7&lt;'Your debts'!$F$12),M139,0)+IF(AND('Your debts'!$F$8&lt;&gt;"",'Your debts'!$F$12&lt;&gt;"",'Your debts'!$F$8&lt;'Your debts'!$F$12),R139,0)+IF(AND('Your debts'!$F$9&lt;&gt;"",'Your debts'!$F$12&lt;&gt;"",'Your debts'!$F$9&lt;'Your debts'!$F$12),W139,0)+IF(AND('Your debts'!$F$10&lt;&gt;"",'Your debts'!$F$12&lt;&gt;"",'Your debts'!$F$10&lt;'Your debts'!$F$12),AB139,0)+IF(AND('Your debts'!$F$11&lt;&gt;"",'Your debts'!$F$12&lt;&gt;"",'Your debts'!$F$11&lt;'Your debts'!$F$12),AG139,0)+IF(AND('Your debts'!$F$13&lt;&gt;"",'Your debts'!$F$12&lt;&gt;"",'Your debts'!$F$13&lt;'Your debts'!$F$12),AQ139,0)+IF(AND('Your debts'!$F$14&lt;&gt;"",'Your debts'!$F$12&lt;&gt;"",'Your debts'!$F$14&lt;'Your debts'!$F$12),AV139,0)+IF(AND('Your debts'!$F$15&lt;&gt;"",'Your debts'!$F$12&lt;&gt;"",'Your debts'!$F$15&lt;'Your debts'!$F$12),BA139,0)))))</f>
        <v/>
      </c>
      <c r="AN139" s="33">
        <f>AL139-AM139</f>
        <v/>
      </c>
      <c r="AO139" s="33">
        <f>IF(AS138&lt;=0,0,ROUND(AS138*(1+'Your debts'!$D$13/1200),2))</f>
        <v/>
      </c>
      <c r="AP139" s="33">
        <f>IF(AO139&lt;=0,0,MIN('Your debts'!$E$13,AO139))</f>
        <v/>
      </c>
      <c r="AQ139" s="33">
        <f>AO139-AP139</f>
        <v/>
      </c>
      <c r="AR139" s="33">
        <f>IF('Your debts'!$F$13="",0,MIN(AQ139,MAX(0,MAX(0,'Your debts'!$C$19-(G139+L139+Q139+V139+AA139+AF139+AK139+AP139+AU139+AZ139))-(IF(AND('Your debts'!$F$6&lt;&gt;"",'Your debts'!$F$13&lt;&gt;"",'Your debts'!$F$6&lt;'Your debts'!$F$13),H139,0)+IF(AND('Your debts'!$F$7&lt;&gt;"",'Your debts'!$F$13&lt;&gt;"",'Your debts'!$F$7&lt;'Your debts'!$F$13),M139,0)+IF(AND('Your debts'!$F$8&lt;&gt;"",'Your debts'!$F$13&lt;&gt;"",'Your debts'!$F$8&lt;'Your debts'!$F$13),R139,0)+IF(AND('Your debts'!$F$9&lt;&gt;"",'Your debts'!$F$13&lt;&gt;"",'Your debts'!$F$9&lt;'Your debts'!$F$13),W139,0)+IF(AND('Your debts'!$F$10&lt;&gt;"",'Your debts'!$F$13&lt;&gt;"",'Your debts'!$F$10&lt;'Your debts'!$F$13),AB139,0)+IF(AND('Your debts'!$F$11&lt;&gt;"",'Your debts'!$F$13&lt;&gt;"",'Your debts'!$F$11&lt;'Your debts'!$F$13),AG139,0)+IF(AND('Your debts'!$F$12&lt;&gt;"",'Your debts'!$F$13&lt;&gt;"",'Your debts'!$F$12&lt;'Your debts'!$F$13),AL139,0)+IF(AND('Your debts'!$F$14&lt;&gt;"",'Your debts'!$F$13&lt;&gt;"",'Your debts'!$F$14&lt;'Your debts'!$F$13),AV139,0)+IF(AND('Your debts'!$F$15&lt;&gt;"",'Your debts'!$F$13&lt;&gt;"",'Your debts'!$F$15&lt;'Your debts'!$F$13),BA139,0)))))</f>
        <v/>
      </c>
      <c r="AS139" s="33">
        <f>AQ139-AR139</f>
        <v/>
      </c>
      <c r="AT139" s="33">
        <f>IF(AX138&lt;=0,0,ROUND(AX138*(1+'Your debts'!$D$14/1200),2))</f>
        <v/>
      </c>
      <c r="AU139" s="33">
        <f>IF(AT139&lt;=0,0,MIN('Your debts'!$E$14,AT139))</f>
        <v/>
      </c>
      <c r="AV139" s="33">
        <f>AT139-AU139</f>
        <v/>
      </c>
      <c r="AW139" s="33">
        <f>IF('Your debts'!$F$14="",0,MIN(AV139,MAX(0,MAX(0,'Your debts'!$C$19-(G139+L139+Q139+V139+AA139+AF139+AK139+AP139+AU139+AZ139))-(IF(AND('Your debts'!$F$6&lt;&gt;"",'Your debts'!$F$14&lt;&gt;"",'Your debts'!$F$6&lt;'Your debts'!$F$14),H139,0)+IF(AND('Your debts'!$F$7&lt;&gt;"",'Your debts'!$F$14&lt;&gt;"",'Your debts'!$F$7&lt;'Your debts'!$F$14),M139,0)+IF(AND('Your debts'!$F$8&lt;&gt;"",'Your debts'!$F$14&lt;&gt;"",'Your debts'!$F$8&lt;'Your debts'!$F$14),R139,0)+IF(AND('Your debts'!$F$9&lt;&gt;"",'Your debts'!$F$14&lt;&gt;"",'Your debts'!$F$9&lt;'Your debts'!$F$14),W139,0)+IF(AND('Your debts'!$F$10&lt;&gt;"",'Your debts'!$F$14&lt;&gt;"",'Your debts'!$F$10&lt;'Your debts'!$F$14),AB139,0)+IF(AND('Your debts'!$F$11&lt;&gt;"",'Your debts'!$F$14&lt;&gt;"",'Your debts'!$F$11&lt;'Your debts'!$F$14),AG139,0)+IF(AND('Your debts'!$F$12&lt;&gt;"",'Your debts'!$F$14&lt;&gt;"",'Your debts'!$F$12&lt;'Your debts'!$F$14),AL139,0)+IF(AND('Your debts'!$F$13&lt;&gt;"",'Your debts'!$F$14&lt;&gt;"",'Your debts'!$F$13&lt;'Your debts'!$F$14),AQ139,0)+IF(AND('Your debts'!$F$15&lt;&gt;"",'Your debts'!$F$14&lt;&gt;"",'Your debts'!$F$15&lt;'Your debts'!$F$14),BA139,0)))))</f>
        <v/>
      </c>
      <c r="AX139" s="33">
        <f>AV139-AW139</f>
        <v/>
      </c>
      <c r="AY139" s="33">
        <f>IF(BC138&lt;=0,0,ROUND(BC138*(1+'Your debts'!$D$15/1200),2))</f>
        <v/>
      </c>
      <c r="AZ139" s="33">
        <f>IF(AY139&lt;=0,0,MIN('Your debts'!$E$15,AY139))</f>
        <v/>
      </c>
      <c r="BA139" s="33">
        <f>AY139-AZ139</f>
        <v/>
      </c>
      <c r="BB139" s="33">
        <f>IF('Your debts'!$F$15="",0,MIN(BA139,MAX(0,MAX(0,'Your debts'!$C$19-(G139+L139+Q139+V139+AA139+AF139+AK139+AP139+AU139+AZ139))-(IF(AND('Your debts'!$F$6&lt;&gt;"",'Your debts'!$F$15&lt;&gt;"",'Your debts'!$F$6&lt;'Your debts'!$F$15),H139,0)+IF(AND('Your debts'!$F$7&lt;&gt;"",'Your debts'!$F$15&lt;&gt;"",'Your debts'!$F$7&lt;'Your debts'!$F$15),M139,0)+IF(AND('Your debts'!$F$8&lt;&gt;"",'Your debts'!$F$15&lt;&gt;"",'Your debts'!$F$8&lt;'Your debts'!$F$15),R139,0)+IF(AND('Your debts'!$F$9&lt;&gt;"",'Your debts'!$F$15&lt;&gt;"",'Your debts'!$F$9&lt;'Your debts'!$F$15),W139,0)+IF(AND('Your debts'!$F$10&lt;&gt;"",'Your debts'!$F$15&lt;&gt;"",'Your debts'!$F$10&lt;'Your debts'!$F$15),AB139,0)+IF(AND('Your debts'!$F$11&lt;&gt;"",'Your debts'!$F$15&lt;&gt;"",'Your debts'!$F$11&lt;'Your debts'!$F$15),AG139,0)+IF(AND('Your debts'!$F$12&lt;&gt;"",'Your debts'!$F$15&lt;&gt;"",'Your debts'!$F$12&lt;'Your debts'!$F$15),AL139,0)+IF(AND('Your debts'!$F$13&lt;&gt;"",'Your debts'!$F$15&lt;&gt;"",'Your debts'!$F$13&lt;'Your debts'!$F$15),AQ139,0)+IF(AND('Your debts'!$F$14&lt;&gt;"",'Your debts'!$F$15&lt;&gt;"",'Your debts'!$F$14&lt;'Your debts'!$F$15),AV139,0)))))</f>
        <v/>
      </c>
      <c r="BC139" s="33">
        <f>BA139-BB139</f>
        <v/>
      </c>
    </row>
    <row r="140">
      <c r="A140" s="30" t="n">
        <v>125</v>
      </c>
      <c r="B140" s="31">
        <f>EDATE($B$15,125)</f>
        <v/>
      </c>
      <c r="C140" s="32">
        <f>IF(J139&lt;=0,0,F140-J139)+IF(O139&lt;=0,0,K140-O139)+IF(T139&lt;=0,0,P140-T139)+IF(Y139&lt;=0,0,U140-Y139)+IF(AD139&lt;=0,0,Z140-AD139)+IF(AI139&lt;=0,0,AE140-AI139)+IF(AN139&lt;=0,0,AJ140-AN139)+IF(AS139&lt;=0,0,AO140-AS139)+IF(AX139&lt;=0,0,AT140-AX139)+IF(BC139&lt;=0,0,AY140-BC139)</f>
        <v/>
      </c>
      <c r="D140" s="32">
        <f>G140+I140+L140+N140+Q140+S140+V140+X140+AA140+AC140+AF140+AH140+AK140+AM140+AP140+AR140+AU140+AW140+AZ140+BB140</f>
        <v/>
      </c>
      <c r="E140" s="32">
        <f>J140+O140+T140+Y140+AD140+AI140+AN140+AS140+AX140+BC140</f>
        <v/>
      </c>
      <c r="F140" s="33">
        <f>IF(J139&lt;=0,0,ROUND(J139*(1+'Your debts'!$D$6/1200),2))</f>
        <v/>
      </c>
      <c r="G140" s="33">
        <f>IF(F140&lt;=0,0,MIN('Your debts'!$E$6,F140))</f>
        <v/>
      </c>
      <c r="H140" s="33">
        <f>F140-G140</f>
        <v/>
      </c>
      <c r="I140" s="33">
        <f>IF('Your debts'!$F$6="",0,MIN(H140,MAX(0,MAX(0,'Your debts'!$C$19-(G140+L140+Q140+V140+AA140+AF140+AK140+AP140+AU140+AZ140))-(IF(AND('Your debts'!$F$7&lt;&gt;"",'Your debts'!$F$6&lt;&gt;"",'Your debts'!$F$7&lt;'Your debts'!$F$6),M140,0)+IF(AND('Your debts'!$F$8&lt;&gt;"",'Your debts'!$F$6&lt;&gt;"",'Your debts'!$F$8&lt;'Your debts'!$F$6),R140,0)+IF(AND('Your debts'!$F$9&lt;&gt;"",'Your debts'!$F$6&lt;&gt;"",'Your debts'!$F$9&lt;'Your debts'!$F$6),W140,0)+IF(AND('Your debts'!$F$10&lt;&gt;"",'Your debts'!$F$6&lt;&gt;"",'Your debts'!$F$10&lt;'Your debts'!$F$6),AB140,0)+IF(AND('Your debts'!$F$11&lt;&gt;"",'Your debts'!$F$6&lt;&gt;"",'Your debts'!$F$11&lt;'Your debts'!$F$6),AG140,0)+IF(AND('Your debts'!$F$12&lt;&gt;"",'Your debts'!$F$6&lt;&gt;"",'Your debts'!$F$12&lt;'Your debts'!$F$6),AL140,0)+IF(AND('Your debts'!$F$13&lt;&gt;"",'Your debts'!$F$6&lt;&gt;"",'Your debts'!$F$13&lt;'Your debts'!$F$6),AQ140,0)+IF(AND('Your debts'!$F$14&lt;&gt;"",'Your debts'!$F$6&lt;&gt;"",'Your debts'!$F$14&lt;'Your debts'!$F$6),AV140,0)+IF(AND('Your debts'!$F$15&lt;&gt;"",'Your debts'!$F$6&lt;&gt;"",'Your debts'!$F$15&lt;'Your debts'!$F$6),BA140,0)))))</f>
        <v/>
      </c>
      <c r="J140" s="33">
        <f>H140-I140</f>
        <v/>
      </c>
      <c r="K140" s="33">
        <f>IF(O139&lt;=0,0,ROUND(O139*(1+'Your debts'!$D$7/1200),2))</f>
        <v/>
      </c>
      <c r="L140" s="33">
        <f>IF(K140&lt;=0,0,MIN('Your debts'!$E$7,K140))</f>
        <v/>
      </c>
      <c r="M140" s="33">
        <f>K140-L140</f>
        <v/>
      </c>
      <c r="N140" s="33">
        <f>IF('Your debts'!$F$7="",0,MIN(M140,MAX(0,MAX(0,'Your debts'!$C$19-(G140+L140+Q140+V140+AA140+AF140+AK140+AP140+AU140+AZ140))-(IF(AND('Your debts'!$F$6&lt;&gt;"",'Your debts'!$F$7&lt;&gt;"",'Your debts'!$F$6&lt;'Your debts'!$F$7),H140,0)+IF(AND('Your debts'!$F$8&lt;&gt;"",'Your debts'!$F$7&lt;&gt;"",'Your debts'!$F$8&lt;'Your debts'!$F$7),R140,0)+IF(AND('Your debts'!$F$9&lt;&gt;"",'Your debts'!$F$7&lt;&gt;"",'Your debts'!$F$9&lt;'Your debts'!$F$7),W140,0)+IF(AND('Your debts'!$F$10&lt;&gt;"",'Your debts'!$F$7&lt;&gt;"",'Your debts'!$F$10&lt;'Your debts'!$F$7),AB140,0)+IF(AND('Your debts'!$F$11&lt;&gt;"",'Your debts'!$F$7&lt;&gt;"",'Your debts'!$F$11&lt;'Your debts'!$F$7),AG140,0)+IF(AND('Your debts'!$F$12&lt;&gt;"",'Your debts'!$F$7&lt;&gt;"",'Your debts'!$F$12&lt;'Your debts'!$F$7),AL140,0)+IF(AND('Your debts'!$F$13&lt;&gt;"",'Your debts'!$F$7&lt;&gt;"",'Your debts'!$F$13&lt;'Your debts'!$F$7),AQ140,0)+IF(AND('Your debts'!$F$14&lt;&gt;"",'Your debts'!$F$7&lt;&gt;"",'Your debts'!$F$14&lt;'Your debts'!$F$7),AV140,0)+IF(AND('Your debts'!$F$15&lt;&gt;"",'Your debts'!$F$7&lt;&gt;"",'Your debts'!$F$15&lt;'Your debts'!$F$7),BA140,0)))))</f>
        <v/>
      </c>
      <c r="O140" s="33">
        <f>M140-N140</f>
        <v/>
      </c>
      <c r="P140" s="33">
        <f>IF(T139&lt;=0,0,ROUND(T139*(1+'Your debts'!$D$8/1200),2))</f>
        <v/>
      </c>
      <c r="Q140" s="33">
        <f>IF(P140&lt;=0,0,MIN('Your debts'!$E$8,P140))</f>
        <v/>
      </c>
      <c r="R140" s="33">
        <f>P140-Q140</f>
        <v/>
      </c>
      <c r="S140" s="33">
        <f>IF('Your debts'!$F$8="",0,MIN(R140,MAX(0,MAX(0,'Your debts'!$C$19-(G140+L140+Q140+V140+AA140+AF140+AK140+AP140+AU140+AZ140))-(IF(AND('Your debts'!$F$6&lt;&gt;"",'Your debts'!$F$8&lt;&gt;"",'Your debts'!$F$6&lt;'Your debts'!$F$8),H140,0)+IF(AND('Your debts'!$F$7&lt;&gt;"",'Your debts'!$F$8&lt;&gt;"",'Your debts'!$F$7&lt;'Your debts'!$F$8),M140,0)+IF(AND('Your debts'!$F$9&lt;&gt;"",'Your debts'!$F$8&lt;&gt;"",'Your debts'!$F$9&lt;'Your debts'!$F$8),W140,0)+IF(AND('Your debts'!$F$10&lt;&gt;"",'Your debts'!$F$8&lt;&gt;"",'Your debts'!$F$10&lt;'Your debts'!$F$8),AB140,0)+IF(AND('Your debts'!$F$11&lt;&gt;"",'Your debts'!$F$8&lt;&gt;"",'Your debts'!$F$11&lt;'Your debts'!$F$8),AG140,0)+IF(AND('Your debts'!$F$12&lt;&gt;"",'Your debts'!$F$8&lt;&gt;"",'Your debts'!$F$12&lt;'Your debts'!$F$8),AL140,0)+IF(AND('Your debts'!$F$13&lt;&gt;"",'Your debts'!$F$8&lt;&gt;"",'Your debts'!$F$13&lt;'Your debts'!$F$8),AQ140,0)+IF(AND('Your debts'!$F$14&lt;&gt;"",'Your debts'!$F$8&lt;&gt;"",'Your debts'!$F$14&lt;'Your debts'!$F$8),AV140,0)+IF(AND('Your debts'!$F$15&lt;&gt;"",'Your debts'!$F$8&lt;&gt;"",'Your debts'!$F$15&lt;'Your debts'!$F$8),BA140,0)))))</f>
        <v/>
      </c>
      <c r="T140" s="33">
        <f>R140-S140</f>
        <v/>
      </c>
      <c r="U140" s="33">
        <f>IF(Y139&lt;=0,0,ROUND(Y139*(1+'Your debts'!$D$9/1200),2))</f>
        <v/>
      </c>
      <c r="V140" s="33">
        <f>IF(U140&lt;=0,0,MIN('Your debts'!$E$9,U140))</f>
        <v/>
      </c>
      <c r="W140" s="33">
        <f>U140-V140</f>
        <v/>
      </c>
      <c r="X140" s="33">
        <f>IF('Your debts'!$F$9="",0,MIN(W140,MAX(0,MAX(0,'Your debts'!$C$19-(G140+L140+Q140+V140+AA140+AF140+AK140+AP140+AU140+AZ140))-(IF(AND('Your debts'!$F$6&lt;&gt;"",'Your debts'!$F$9&lt;&gt;"",'Your debts'!$F$6&lt;'Your debts'!$F$9),H140,0)+IF(AND('Your debts'!$F$7&lt;&gt;"",'Your debts'!$F$9&lt;&gt;"",'Your debts'!$F$7&lt;'Your debts'!$F$9),M140,0)+IF(AND('Your debts'!$F$8&lt;&gt;"",'Your debts'!$F$9&lt;&gt;"",'Your debts'!$F$8&lt;'Your debts'!$F$9),R140,0)+IF(AND('Your debts'!$F$10&lt;&gt;"",'Your debts'!$F$9&lt;&gt;"",'Your debts'!$F$10&lt;'Your debts'!$F$9),AB140,0)+IF(AND('Your debts'!$F$11&lt;&gt;"",'Your debts'!$F$9&lt;&gt;"",'Your debts'!$F$11&lt;'Your debts'!$F$9),AG140,0)+IF(AND('Your debts'!$F$12&lt;&gt;"",'Your debts'!$F$9&lt;&gt;"",'Your debts'!$F$12&lt;'Your debts'!$F$9),AL140,0)+IF(AND('Your debts'!$F$13&lt;&gt;"",'Your debts'!$F$9&lt;&gt;"",'Your debts'!$F$13&lt;'Your debts'!$F$9),AQ140,0)+IF(AND('Your debts'!$F$14&lt;&gt;"",'Your debts'!$F$9&lt;&gt;"",'Your debts'!$F$14&lt;'Your debts'!$F$9),AV140,0)+IF(AND('Your debts'!$F$15&lt;&gt;"",'Your debts'!$F$9&lt;&gt;"",'Your debts'!$F$15&lt;'Your debts'!$F$9),BA140,0)))))</f>
        <v/>
      </c>
      <c r="Y140" s="33">
        <f>W140-X140</f>
        <v/>
      </c>
      <c r="Z140" s="33">
        <f>IF(AD139&lt;=0,0,ROUND(AD139*(1+'Your debts'!$D$10/1200),2))</f>
        <v/>
      </c>
      <c r="AA140" s="33">
        <f>IF(Z140&lt;=0,0,MIN('Your debts'!$E$10,Z140))</f>
        <v/>
      </c>
      <c r="AB140" s="33">
        <f>Z140-AA140</f>
        <v/>
      </c>
      <c r="AC140" s="33">
        <f>IF('Your debts'!$F$10="",0,MIN(AB140,MAX(0,MAX(0,'Your debts'!$C$19-(G140+L140+Q140+V140+AA140+AF140+AK140+AP140+AU140+AZ140))-(IF(AND('Your debts'!$F$6&lt;&gt;"",'Your debts'!$F$10&lt;&gt;"",'Your debts'!$F$6&lt;'Your debts'!$F$10),H140,0)+IF(AND('Your debts'!$F$7&lt;&gt;"",'Your debts'!$F$10&lt;&gt;"",'Your debts'!$F$7&lt;'Your debts'!$F$10),M140,0)+IF(AND('Your debts'!$F$8&lt;&gt;"",'Your debts'!$F$10&lt;&gt;"",'Your debts'!$F$8&lt;'Your debts'!$F$10),R140,0)+IF(AND('Your debts'!$F$9&lt;&gt;"",'Your debts'!$F$10&lt;&gt;"",'Your debts'!$F$9&lt;'Your debts'!$F$10),W140,0)+IF(AND('Your debts'!$F$11&lt;&gt;"",'Your debts'!$F$10&lt;&gt;"",'Your debts'!$F$11&lt;'Your debts'!$F$10),AG140,0)+IF(AND('Your debts'!$F$12&lt;&gt;"",'Your debts'!$F$10&lt;&gt;"",'Your debts'!$F$12&lt;'Your debts'!$F$10),AL140,0)+IF(AND('Your debts'!$F$13&lt;&gt;"",'Your debts'!$F$10&lt;&gt;"",'Your debts'!$F$13&lt;'Your debts'!$F$10),AQ140,0)+IF(AND('Your debts'!$F$14&lt;&gt;"",'Your debts'!$F$10&lt;&gt;"",'Your debts'!$F$14&lt;'Your debts'!$F$10),AV140,0)+IF(AND('Your debts'!$F$15&lt;&gt;"",'Your debts'!$F$10&lt;&gt;"",'Your debts'!$F$15&lt;'Your debts'!$F$10),BA140,0)))))</f>
        <v/>
      </c>
      <c r="AD140" s="33">
        <f>AB140-AC140</f>
        <v/>
      </c>
      <c r="AE140" s="33">
        <f>IF(AI139&lt;=0,0,ROUND(AI139*(1+'Your debts'!$D$11/1200),2))</f>
        <v/>
      </c>
      <c r="AF140" s="33">
        <f>IF(AE140&lt;=0,0,MIN('Your debts'!$E$11,AE140))</f>
        <v/>
      </c>
      <c r="AG140" s="33">
        <f>AE140-AF140</f>
        <v/>
      </c>
      <c r="AH140" s="33">
        <f>IF('Your debts'!$F$11="",0,MIN(AG140,MAX(0,MAX(0,'Your debts'!$C$19-(G140+L140+Q140+V140+AA140+AF140+AK140+AP140+AU140+AZ140))-(IF(AND('Your debts'!$F$6&lt;&gt;"",'Your debts'!$F$11&lt;&gt;"",'Your debts'!$F$6&lt;'Your debts'!$F$11),H140,0)+IF(AND('Your debts'!$F$7&lt;&gt;"",'Your debts'!$F$11&lt;&gt;"",'Your debts'!$F$7&lt;'Your debts'!$F$11),M140,0)+IF(AND('Your debts'!$F$8&lt;&gt;"",'Your debts'!$F$11&lt;&gt;"",'Your debts'!$F$8&lt;'Your debts'!$F$11),R140,0)+IF(AND('Your debts'!$F$9&lt;&gt;"",'Your debts'!$F$11&lt;&gt;"",'Your debts'!$F$9&lt;'Your debts'!$F$11),W140,0)+IF(AND('Your debts'!$F$10&lt;&gt;"",'Your debts'!$F$11&lt;&gt;"",'Your debts'!$F$10&lt;'Your debts'!$F$11),AB140,0)+IF(AND('Your debts'!$F$12&lt;&gt;"",'Your debts'!$F$11&lt;&gt;"",'Your debts'!$F$12&lt;'Your debts'!$F$11),AL140,0)+IF(AND('Your debts'!$F$13&lt;&gt;"",'Your debts'!$F$11&lt;&gt;"",'Your debts'!$F$13&lt;'Your debts'!$F$11),AQ140,0)+IF(AND('Your debts'!$F$14&lt;&gt;"",'Your debts'!$F$11&lt;&gt;"",'Your debts'!$F$14&lt;'Your debts'!$F$11),AV140,0)+IF(AND('Your debts'!$F$15&lt;&gt;"",'Your debts'!$F$11&lt;&gt;"",'Your debts'!$F$15&lt;'Your debts'!$F$11),BA140,0)))))</f>
        <v/>
      </c>
      <c r="AI140" s="33">
        <f>AG140-AH140</f>
        <v/>
      </c>
      <c r="AJ140" s="33">
        <f>IF(AN139&lt;=0,0,ROUND(AN139*(1+'Your debts'!$D$12/1200),2))</f>
        <v/>
      </c>
      <c r="AK140" s="33">
        <f>IF(AJ140&lt;=0,0,MIN('Your debts'!$E$12,AJ140))</f>
        <v/>
      </c>
      <c r="AL140" s="33">
        <f>AJ140-AK140</f>
        <v/>
      </c>
      <c r="AM140" s="33">
        <f>IF('Your debts'!$F$12="",0,MIN(AL140,MAX(0,MAX(0,'Your debts'!$C$19-(G140+L140+Q140+V140+AA140+AF140+AK140+AP140+AU140+AZ140))-(IF(AND('Your debts'!$F$6&lt;&gt;"",'Your debts'!$F$12&lt;&gt;"",'Your debts'!$F$6&lt;'Your debts'!$F$12),H140,0)+IF(AND('Your debts'!$F$7&lt;&gt;"",'Your debts'!$F$12&lt;&gt;"",'Your debts'!$F$7&lt;'Your debts'!$F$12),M140,0)+IF(AND('Your debts'!$F$8&lt;&gt;"",'Your debts'!$F$12&lt;&gt;"",'Your debts'!$F$8&lt;'Your debts'!$F$12),R140,0)+IF(AND('Your debts'!$F$9&lt;&gt;"",'Your debts'!$F$12&lt;&gt;"",'Your debts'!$F$9&lt;'Your debts'!$F$12),W140,0)+IF(AND('Your debts'!$F$10&lt;&gt;"",'Your debts'!$F$12&lt;&gt;"",'Your debts'!$F$10&lt;'Your debts'!$F$12),AB140,0)+IF(AND('Your debts'!$F$11&lt;&gt;"",'Your debts'!$F$12&lt;&gt;"",'Your debts'!$F$11&lt;'Your debts'!$F$12),AG140,0)+IF(AND('Your debts'!$F$13&lt;&gt;"",'Your debts'!$F$12&lt;&gt;"",'Your debts'!$F$13&lt;'Your debts'!$F$12),AQ140,0)+IF(AND('Your debts'!$F$14&lt;&gt;"",'Your debts'!$F$12&lt;&gt;"",'Your debts'!$F$14&lt;'Your debts'!$F$12),AV140,0)+IF(AND('Your debts'!$F$15&lt;&gt;"",'Your debts'!$F$12&lt;&gt;"",'Your debts'!$F$15&lt;'Your debts'!$F$12),BA140,0)))))</f>
        <v/>
      </c>
      <c r="AN140" s="33">
        <f>AL140-AM140</f>
        <v/>
      </c>
      <c r="AO140" s="33">
        <f>IF(AS139&lt;=0,0,ROUND(AS139*(1+'Your debts'!$D$13/1200),2))</f>
        <v/>
      </c>
      <c r="AP140" s="33">
        <f>IF(AO140&lt;=0,0,MIN('Your debts'!$E$13,AO140))</f>
        <v/>
      </c>
      <c r="AQ140" s="33">
        <f>AO140-AP140</f>
        <v/>
      </c>
      <c r="AR140" s="33">
        <f>IF('Your debts'!$F$13="",0,MIN(AQ140,MAX(0,MAX(0,'Your debts'!$C$19-(G140+L140+Q140+V140+AA140+AF140+AK140+AP140+AU140+AZ140))-(IF(AND('Your debts'!$F$6&lt;&gt;"",'Your debts'!$F$13&lt;&gt;"",'Your debts'!$F$6&lt;'Your debts'!$F$13),H140,0)+IF(AND('Your debts'!$F$7&lt;&gt;"",'Your debts'!$F$13&lt;&gt;"",'Your debts'!$F$7&lt;'Your debts'!$F$13),M140,0)+IF(AND('Your debts'!$F$8&lt;&gt;"",'Your debts'!$F$13&lt;&gt;"",'Your debts'!$F$8&lt;'Your debts'!$F$13),R140,0)+IF(AND('Your debts'!$F$9&lt;&gt;"",'Your debts'!$F$13&lt;&gt;"",'Your debts'!$F$9&lt;'Your debts'!$F$13),W140,0)+IF(AND('Your debts'!$F$10&lt;&gt;"",'Your debts'!$F$13&lt;&gt;"",'Your debts'!$F$10&lt;'Your debts'!$F$13),AB140,0)+IF(AND('Your debts'!$F$11&lt;&gt;"",'Your debts'!$F$13&lt;&gt;"",'Your debts'!$F$11&lt;'Your debts'!$F$13),AG140,0)+IF(AND('Your debts'!$F$12&lt;&gt;"",'Your debts'!$F$13&lt;&gt;"",'Your debts'!$F$12&lt;'Your debts'!$F$13),AL140,0)+IF(AND('Your debts'!$F$14&lt;&gt;"",'Your debts'!$F$13&lt;&gt;"",'Your debts'!$F$14&lt;'Your debts'!$F$13),AV140,0)+IF(AND('Your debts'!$F$15&lt;&gt;"",'Your debts'!$F$13&lt;&gt;"",'Your debts'!$F$15&lt;'Your debts'!$F$13),BA140,0)))))</f>
        <v/>
      </c>
      <c r="AS140" s="33">
        <f>AQ140-AR140</f>
        <v/>
      </c>
      <c r="AT140" s="33">
        <f>IF(AX139&lt;=0,0,ROUND(AX139*(1+'Your debts'!$D$14/1200),2))</f>
        <v/>
      </c>
      <c r="AU140" s="33">
        <f>IF(AT140&lt;=0,0,MIN('Your debts'!$E$14,AT140))</f>
        <v/>
      </c>
      <c r="AV140" s="33">
        <f>AT140-AU140</f>
        <v/>
      </c>
      <c r="AW140" s="33">
        <f>IF('Your debts'!$F$14="",0,MIN(AV140,MAX(0,MAX(0,'Your debts'!$C$19-(G140+L140+Q140+V140+AA140+AF140+AK140+AP140+AU140+AZ140))-(IF(AND('Your debts'!$F$6&lt;&gt;"",'Your debts'!$F$14&lt;&gt;"",'Your debts'!$F$6&lt;'Your debts'!$F$14),H140,0)+IF(AND('Your debts'!$F$7&lt;&gt;"",'Your debts'!$F$14&lt;&gt;"",'Your debts'!$F$7&lt;'Your debts'!$F$14),M140,0)+IF(AND('Your debts'!$F$8&lt;&gt;"",'Your debts'!$F$14&lt;&gt;"",'Your debts'!$F$8&lt;'Your debts'!$F$14),R140,0)+IF(AND('Your debts'!$F$9&lt;&gt;"",'Your debts'!$F$14&lt;&gt;"",'Your debts'!$F$9&lt;'Your debts'!$F$14),W140,0)+IF(AND('Your debts'!$F$10&lt;&gt;"",'Your debts'!$F$14&lt;&gt;"",'Your debts'!$F$10&lt;'Your debts'!$F$14),AB140,0)+IF(AND('Your debts'!$F$11&lt;&gt;"",'Your debts'!$F$14&lt;&gt;"",'Your debts'!$F$11&lt;'Your debts'!$F$14),AG140,0)+IF(AND('Your debts'!$F$12&lt;&gt;"",'Your debts'!$F$14&lt;&gt;"",'Your debts'!$F$12&lt;'Your debts'!$F$14),AL140,0)+IF(AND('Your debts'!$F$13&lt;&gt;"",'Your debts'!$F$14&lt;&gt;"",'Your debts'!$F$13&lt;'Your debts'!$F$14),AQ140,0)+IF(AND('Your debts'!$F$15&lt;&gt;"",'Your debts'!$F$14&lt;&gt;"",'Your debts'!$F$15&lt;'Your debts'!$F$14),BA140,0)))))</f>
        <v/>
      </c>
      <c r="AX140" s="33">
        <f>AV140-AW140</f>
        <v/>
      </c>
      <c r="AY140" s="33">
        <f>IF(BC139&lt;=0,0,ROUND(BC139*(1+'Your debts'!$D$15/1200),2))</f>
        <v/>
      </c>
      <c r="AZ140" s="33">
        <f>IF(AY140&lt;=0,0,MIN('Your debts'!$E$15,AY140))</f>
        <v/>
      </c>
      <c r="BA140" s="33">
        <f>AY140-AZ140</f>
        <v/>
      </c>
      <c r="BB140" s="33">
        <f>IF('Your debts'!$F$15="",0,MIN(BA140,MAX(0,MAX(0,'Your debts'!$C$19-(G140+L140+Q140+V140+AA140+AF140+AK140+AP140+AU140+AZ140))-(IF(AND('Your debts'!$F$6&lt;&gt;"",'Your debts'!$F$15&lt;&gt;"",'Your debts'!$F$6&lt;'Your debts'!$F$15),H140,0)+IF(AND('Your debts'!$F$7&lt;&gt;"",'Your debts'!$F$15&lt;&gt;"",'Your debts'!$F$7&lt;'Your debts'!$F$15),M140,0)+IF(AND('Your debts'!$F$8&lt;&gt;"",'Your debts'!$F$15&lt;&gt;"",'Your debts'!$F$8&lt;'Your debts'!$F$15),R140,0)+IF(AND('Your debts'!$F$9&lt;&gt;"",'Your debts'!$F$15&lt;&gt;"",'Your debts'!$F$9&lt;'Your debts'!$F$15),W140,0)+IF(AND('Your debts'!$F$10&lt;&gt;"",'Your debts'!$F$15&lt;&gt;"",'Your debts'!$F$10&lt;'Your debts'!$F$15),AB140,0)+IF(AND('Your debts'!$F$11&lt;&gt;"",'Your debts'!$F$15&lt;&gt;"",'Your debts'!$F$11&lt;'Your debts'!$F$15),AG140,0)+IF(AND('Your debts'!$F$12&lt;&gt;"",'Your debts'!$F$15&lt;&gt;"",'Your debts'!$F$12&lt;'Your debts'!$F$15),AL140,0)+IF(AND('Your debts'!$F$13&lt;&gt;"",'Your debts'!$F$15&lt;&gt;"",'Your debts'!$F$13&lt;'Your debts'!$F$15),AQ140,0)+IF(AND('Your debts'!$F$14&lt;&gt;"",'Your debts'!$F$15&lt;&gt;"",'Your debts'!$F$14&lt;'Your debts'!$F$15),AV140,0)))))</f>
        <v/>
      </c>
      <c r="BC140" s="33">
        <f>BA140-BB140</f>
        <v/>
      </c>
    </row>
    <row r="141">
      <c r="A141" s="30" t="n">
        <v>126</v>
      </c>
      <c r="B141" s="31">
        <f>EDATE($B$15,126)</f>
        <v/>
      </c>
      <c r="C141" s="32">
        <f>IF(J140&lt;=0,0,F141-J140)+IF(O140&lt;=0,0,K141-O140)+IF(T140&lt;=0,0,P141-T140)+IF(Y140&lt;=0,0,U141-Y140)+IF(AD140&lt;=0,0,Z141-AD140)+IF(AI140&lt;=0,0,AE141-AI140)+IF(AN140&lt;=0,0,AJ141-AN140)+IF(AS140&lt;=0,0,AO141-AS140)+IF(AX140&lt;=0,0,AT141-AX140)+IF(BC140&lt;=0,0,AY141-BC140)</f>
        <v/>
      </c>
      <c r="D141" s="32">
        <f>G141+I141+L141+N141+Q141+S141+V141+X141+AA141+AC141+AF141+AH141+AK141+AM141+AP141+AR141+AU141+AW141+AZ141+BB141</f>
        <v/>
      </c>
      <c r="E141" s="32">
        <f>J141+O141+T141+Y141+AD141+AI141+AN141+AS141+AX141+BC141</f>
        <v/>
      </c>
      <c r="F141" s="33">
        <f>IF(J140&lt;=0,0,ROUND(J140*(1+'Your debts'!$D$6/1200),2))</f>
        <v/>
      </c>
      <c r="G141" s="33">
        <f>IF(F141&lt;=0,0,MIN('Your debts'!$E$6,F141))</f>
        <v/>
      </c>
      <c r="H141" s="33">
        <f>F141-G141</f>
        <v/>
      </c>
      <c r="I141" s="33">
        <f>IF('Your debts'!$F$6="",0,MIN(H141,MAX(0,MAX(0,'Your debts'!$C$19-(G141+L141+Q141+V141+AA141+AF141+AK141+AP141+AU141+AZ141))-(IF(AND('Your debts'!$F$7&lt;&gt;"",'Your debts'!$F$6&lt;&gt;"",'Your debts'!$F$7&lt;'Your debts'!$F$6),M141,0)+IF(AND('Your debts'!$F$8&lt;&gt;"",'Your debts'!$F$6&lt;&gt;"",'Your debts'!$F$8&lt;'Your debts'!$F$6),R141,0)+IF(AND('Your debts'!$F$9&lt;&gt;"",'Your debts'!$F$6&lt;&gt;"",'Your debts'!$F$9&lt;'Your debts'!$F$6),W141,0)+IF(AND('Your debts'!$F$10&lt;&gt;"",'Your debts'!$F$6&lt;&gt;"",'Your debts'!$F$10&lt;'Your debts'!$F$6),AB141,0)+IF(AND('Your debts'!$F$11&lt;&gt;"",'Your debts'!$F$6&lt;&gt;"",'Your debts'!$F$11&lt;'Your debts'!$F$6),AG141,0)+IF(AND('Your debts'!$F$12&lt;&gt;"",'Your debts'!$F$6&lt;&gt;"",'Your debts'!$F$12&lt;'Your debts'!$F$6),AL141,0)+IF(AND('Your debts'!$F$13&lt;&gt;"",'Your debts'!$F$6&lt;&gt;"",'Your debts'!$F$13&lt;'Your debts'!$F$6),AQ141,0)+IF(AND('Your debts'!$F$14&lt;&gt;"",'Your debts'!$F$6&lt;&gt;"",'Your debts'!$F$14&lt;'Your debts'!$F$6),AV141,0)+IF(AND('Your debts'!$F$15&lt;&gt;"",'Your debts'!$F$6&lt;&gt;"",'Your debts'!$F$15&lt;'Your debts'!$F$6),BA141,0)))))</f>
        <v/>
      </c>
      <c r="J141" s="33">
        <f>H141-I141</f>
        <v/>
      </c>
      <c r="K141" s="33">
        <f>IF(O140&lt;=0,0,ROUND(O140*(1+'Your debts'!$D$7/1200),2))</f>
        <v/>
      </c>
      <c r="L141" s="33">
        <f>IF(K141&lt;=0,0,MIN('Your debts'!$E$7,K141))</f>
        <v/>
      </c>
      <c r="M141" s="33">
        <f>K141-L141</f>
        <v/>
      </c>
      <c r="N141" s="33">
        <f>IF('Your debts'!$F$7="",0,MIN(M141,MAX(0,MAX(0,'Your debts'!$C$19-(G141+L141+Q141+V141+AA141+AF141+AK141+AP141+AU141+AZ141))-(IF(AND('Your debts'!$F$6&lt;&gt;"",'Your debts'!$F$7&lt;&gt;"",'Your debts'!$F$6&lt;'Your debts'!$F$7),H141,0)+IF(AND('Your debts'!$F$8&lt;&gt;"",'Your debts'!$F$7&lt;&gt;"",'Your debts'!$F$8&lt;'Your debts'!$F$7),R141,0)+IF(AND('Your debts'!$F$9&lt;&gt;"",'Your debts'!$F$7&lt;&gt;"",'Your debts'!$F$9&lt;'Your debts'!$F$7),W141,0)+IF(AND('Your debts'!$F$10&lt;&gt;"",'Your debts'!$F$7&lt;&gt;"",'Your debts'!$F$10&lt;'Your debts'!$F$7),AB141,0)+IF(AND('Your debts'!$F$11&lt;&gt;"",'Your debts'!$F$7&lt;&gt;"",'Your debts'!$F$11&lt;'Your debts'!$F$7),AG141,0)+IF(AND('Your debts'!$F$12&lt;&gt;"",'Your debts'!$F$7&lt;&gt;"",'Your debts'!$F$12&lt;'Your debts'!$F$7),AL141,0)+IF(AND('Your debts'!$F$13&lt;&gt;"",'Your debts'!$F$7&lt;&gt;"",'Your debts'!$F$13&lt;'Your debts'!$F$7),AQ141,0)+IF(AND('Your debts'!$F$14&lt;&gt;"",'Your debts'!$F$7&lt;&gt;"",'Your debts'!$F$14&lt;'Your debts'!$F$7),AV141,0)+IF(AND('Your debts'!$F$15&lt;&gt;"",'Your debts'!$F$7&lt;&gt;"",'Your debts'!$F$15&lt;'Your debts'!$F$7),BA141,0)))))</f>
        <v/>
      </c>
      <c r="O141" s="33">
        <f>M141-N141</f>
        <v/>
      </c>
      <c r="P141" s="33">
        <f>IF(T140&lt;=0,0,ROUND(T140*(1+'Your debts'!$D$8/1200),2))</f>
        <v/>
      </c>
      <c r="Q141" s="33">
        <f>IF(P141&lt;=0,0,MIN('Your debts'!$E$8,P141))</f>
        <v/>
      </c>
      <c r="R141" s="33">
        <f>P141-Q141</f>
        <v/>
      </c>
      <c r="S141" s="33">
        <f>IF('Your debts'!$F$8="",0,MIN(R141,MAX(0,MAX(0,'Your debts'!$C$19-(G141+L141+Q141+V141+AA141+AF141+AK141+AP141+AU141+AZ141))-(IF(AND('Your debts'!$F$6&lt;&gt;"",'Your debts'!$F$8&lt;&gt;"",'Your debts'!$F$6&lt;'Your debts'!$F$8),H141,0)+IF(AND('Your debts'!$F$7&lt;&gt;"",'Your debts'!$F$8&lt;&gt;"",'Your debts'!$F$7&lt;'Your debts'!$F$8),M141,0)+IF(AND('Your debts'!$F$9&lt;&gt;"",'Your debts'!$F$8&lt;&gt;"",'Your debts'!$F$9&lt;'Your debts'!$F$8),W141,0)+IF(AND('Your debts'!$F$10&lt;&gt;"",'Your debts'!$F$8&lt;&gt;"",'Your debts'!$F$10&lt;'Your debts'!$F$8),AB141,0)+IF(AND('Your debts'!$F$11&lt;&gt;"",'Your debts'!$F$8&lt;&gt;"",'Your debts'!$F$11&lt;'Your debts'!$F$8),AG141,0)+IF(AND('Your debts'!$F$12&lt;&gt;"",'Your debts'!$F$8&lt;&gt;"",'Your debts'!$F$12&lt;'Your debts'!$F$8),AL141,0)+IF(AND('Your debts'!$F$13&lt;&gt;"",'Your debts'!$F$8&lt;&gt;"",'Your debts'!$F$13&lt;'Your debts'!$F$8),AQ141,0)+IF(AND('Your debts'!$F$14&lt;&gt;"",'Your debts'!$F$8&lt;&gt;"",'Your debts'!$F$14&lt;'Your debts'!$F$8),AV141,0)+IF(AND('Your debts'!$F$15&lt;&gt;"",'Your debts'!$F$8&lt;&gt;"",'Your debts'!$F$15&lt;'Your debts'!$F$8),BA141,0)))))</f>
        <v/>
      </c>
      <c r="T141" s="33">
        <f>R141-S141</f>
        <v/>
      </c>
      <c r="U141" s="33">
        <f>IF(Y140&lt;=0,0,ROUND(Y140*(1+'Your debts'!$D$9/1200),2))</f>
        <v/>
      </c>
      <c r="V141" s="33">
        <f>IF(U141&lt;=0,0,MIN('Your debts'!$E$9,U141))</f>
        <v/>
      </c>
      <c r="W141" s="33">
        <f>U141-V141</f>
        <v/>
      </c>
      <c r="X141" s="33">
        <f>IF('Your debts'!$F$9="",0,MIN(W141,MAX(0,MAX(0,'Your debts'!$C$19-(G141+L141+Q141+V141+AA141+AF141+AK141+AP141+AU141+AZ141))-(IF(AND('Your debts'!$F$6&lt;&gt;"",'Your debts'!$F$9&lt;&gt;"",'Your debts'!$F$6&lt;'Your debts'!$F$9),H141,0)+IF(AND('Your debts'!$F$7&lt;&gt;"",'Your debts'!$F$9&lt;&gt;"",'Your debts'!$F$7&lt;'Your debts'!$F$9),M141,0)+IF(AND('Your debts'!$F$8&lt;&gt;"",'Your debts'!$F$9&lt;&gt;"",'Your debts'!$F$8&lt;'Your debts'!$F$9),R141,0)+IF(AND('Your debts'!$F$10&lt;&gt;"",'Your debts'!$F$9&lt;&gt;"",'Your debts'!$F$10&lt;'Your debts'!$F$9),AB141,0)+IF(AND('Your debts'!$F$11&lt;&gt;"",'Your debts'!$F$9&lt;&gt;"",'Your debts'!$F$11&lt;'Your debts'!$F$9),AG141,0)+IF(AND('Your debts'!$F$12&lt;&gt;"",'Your debts'!$F$9&lt;&gt;"",'Your debts'!$F$12&lt;'Your debts'!$F$9),AL141,0)+IF(AND('Your debts'!$F$13&lt;&gt;"",'Your debts'!$F$9&lt;&gt;"",'Your debts'!$F$13&lt;'Your debts'!$F$9),AQ141,0)+IF(AND('Your debts'!$F$14&lt;&gt;"",'Your debts'!$F$9&lt;&gt;"",'Your debts'!$F$14&lt;'Your debts'!$F$9),AV141,0)+IF(AND('Your debts'!$F$15&lt;&gt;"",'Your debts'!$F$9&lt;&gt;"",'Your debts'!$F$15&lt;'Your debts'!$F$9),BA141,0)))))</f>
        <v/>
      </c>
      <c r="Y141" s="33">
        <f>W141-X141</f>
        <v/>
      </c>
      <c r="Z141" s="33">
        <f>IF(AD140&lt;=0,0,ROUND(AD140*(1+'Your debts'!$D$10/1200),2))</f>
        <v/>
      </c>
      <c r="AA141" s="33">
        <f>IF(Z141&lt;=0,0,MIN('Your debts'!$E$10,Z141))</f>
        <v/>
      </c>
      <c r="AB141" s="33">
        <f>Z141-AA141</f>
        <v/>
      </c>
      <c r="AC141" s="33">
        <f>IF('Your debts'!$F$10="",0,MIN(AB141,MAX(0,MAX(0,'Your debts'!$C$19-(G141+L141+Q141+V141+AA141+AF141+AK141+AP141+AU141+AZ141))-(IF(AND('Your debts'!$F$6&lt;&gt;"",'Your debts'!$F$10&lt;&gt;"",'Your debts'!$F$6&lt;'Your debts'!$F$10),H141,0)+IF(AND('Your debts'!$F$7&lt;&gt;"",'Your debts'!$F$10&lt;&gt;"",'Your debts'!$F$7&lt;'Your debts'!$F$10),M141,0)+IF(AND('Your debts'!$F$8&lt;&gt;"",'Your debts'!$F$10&lt;&gt;"",'Your debts'!$F$8&lt;'Your debts'!$F$10),R141,0)+IF(AND('Your debts'!$F$9&lt;&gt;"",'Your debts'!$F$10&lt;&gt;"",'Your debts'!$F$9&lt;'Your debts'!$F$10),W141,0)+IF(AND('Your debts'!$F$11&lt;&gt;"",'Your debts'!$F$10&lt;&gt;"",'Your debts'!$F$11&lt;'Your debts'!$F$10),AG141,0)+IF(AND('Your debts'!$F$12&lt;&gt;"",'Your debts'!$F$10&lt;&gt;"",'Your debts'!$F$12&lt;'Your debts'!$F$10),AL141,0)+IF(AND('Your debts'!$F$13&lt;&gt;"",'Your debts'!$F$10&lt;&gt;"",'Your debts'!$F$13&lt;'Your debts'!$F$10),AQ141,0)+IF(AND('Your debts'!$F$14&lt;&gt;"",'Your debts'!$F$10&lt;&gt;"",'Your debts'!$F$14&lt;'Your debts'!$F$10),AV141,0)+IF(AND('Your debts'!$F$15&lt;&gt;"",'Your debts'!$F$10&lt;&gt;"",'Your debts'!$F$15&lt;'Your debts'!$F$10),BA141,0)))))</f>
        <v/>
      </c>
      <c r="AD141" s="33">
        <f>AB141-AC141</f>
        <v/>
      </c>
      <c r="AE141" s="33">
        <f>IF(AI140&lt;=0,0,ROUND(AI140*(1+'Your debts'!$D$11/1200),2))</f>
        <v/>
      </c>
      <c r="AF141" s="33">
        <f>IF(AE141&lt;=0,0,MIN('Your debts'!$E$11,AE141))</f>
        <v/>
      </c>
      <c r="AG141" s="33">
        <f>AE141-AF141</f>
        <v/>
      </c>
      <c r="AH141" s="33">
        <f>IF('Your debts'!$F$11="",0,MIN(AG141,MAX(0,MAX(0,'Your debts'!$C$19-(G141+L141+Q141+V141+AA141+AF141+AK141+AP141+AU141+AZ141))-(IF(AND('Your debts'!$F$6&lt;&gt;"",'Your debts'!$F$11&lt;&gt;"",'Your debts'!$F$6&lt;'Your debts'!$F$11),H141,0)+IF(AND('Your debts'!$F$7&lt;&gt;"",'Your debts'!$F$11&lt;&gt;"",'Your debts'!$F$7&lt;'Your debts'!$F$11),M141,0)+IF(AND('Your debts'!$F$8&lt;&gt;"",'Your debts'!$F$11&lt;&gt;"",'Your debts'!$F$8&lt;'Your debts'!$F$11),R141,0)+IF(AND('Your debts'!$F$9&lt;&gt;"",'Your debts'!$F$11&lt;&gt;"",'Your debts'!$F$9&lt;'Your debts'!$F$11),W141,0)+IF(AND('Your debts'!$F$10&lt;&gt;"",'Your debts'!$F$11&lt;&gt;"",'Your debts'!$F$10&lt;'Your debts'!$F$11),AB141,0)+IF(AND('Your debts'!$F$12&lt;&gt;"",'Your debts'!$F$11&lt;&gt;"",'Your debts'!$F$12&lt;'Your debts'!$F$11),AL141,0)+IF(AND('Your debts'!$F$13&lt;&gt;"",'Your debts'!$F$11&lt;&gt;"",'Your debts'!$F$13&lt;'Your debts'!$F$11),AQ141,0)+IF(AND('Your debts'!$F$14&lt;&gt;"",'Your debts'!$F$11&lt;&gt;"",'Your debts'!$F$14&lt;'Your debts'!$F$11),AV141,0)+IF(AND('Your debts'!$F$15&lt;&gt;"",'Your debts'!$F$11&lt;&gt;"",'Your debts'!$F$15&lt;'Your debts'!$F$11),BA141,0)))))</f>
        <v/>
      </c>
      <c r="AI141" s="33">
        <f>AG141-AH141</f>
        <v/>
      </c>
      <c r="AJ141" s="33">
        <f>IF(AN140&lt;=0,0,ROUND(AN140*(1+'Your debts'!$D$12/1200),2))</f>
        <v/>
      </c>
      <c r="AK141" s="33">
        <f>IF(AJ141&lt;=0,0,MIN('Your debts'!$E$12,AJ141))</f>
        <v/>
      </c>
      <c r="AL141" s="33">
        <f>AJ141-AK141</f>
        <v/>
      </c>
      <c r="AM141" s="33">
        <f>IF('Your debts'!$F$12="",0,MIN(AL141,MAX(0,MAX(0,'Your debts'!$C$19-(G141+L141+Q141+V141+AA141+AF141+AK141+AP141+AU141+AZ141))-(IF(AND('Your debts'!$F$6&lt;&gt;"",'Your debts'!$F$12&lt;&gt;"",'Your debts'!$F$6&lt;'Your debts'!$F$12),H141,0)+IF(AND('Your debts'!$F$7&lt;&gt;"",'Your debts'!$F$12&lt;&gt;"",'Your debts'!$F$7&lt;'Your debts'!$F$12),M141,0)+IF(AND('Your debts'!$F$8&lt;&gt;"",'Your debts'!$F$12&lt;&gt;"",'Your debts'!$F$8&lt;'Your debts'!$F$12),R141,0)+IF(AND('Your debts'!$F$9&lt;&gt;"",'Your debts'!$F$12&lt;&gt;"",'Your debts'!$F$9&lt;'Your debts'!$F$12),W141,0)+IF(AND('Your debts'!$F$10&lt;&gt;"",'Your debts'!$F$12&lt;&gt;"",'Your debts'!$F$10&lt;'Your debts'!$F$12),AB141,0)+IF(AND('Your debts'!$F$11&lt;&gt;"",'Your debts'!$F$12&lt;&gt;"",'Your debts'!$F$11&lt;'Your debts'!$F$12),AG141,0)+IF(AND('Your debts'!$F$13&lt;&gt;"",'Your debts'!$F$12&lt;&gt;"",'Your debts'!$F$13&lt;'Your debts'!$F$12),AQ141,0)+IF(AND('Your debts'!$F$14&lt;&gt;"",'Your debts'!$F$12&lt;&gt;"",'Your debts'!$F$14&lt;'Your debts'!$F$12),AV141,0)+IF(AND('Your debts'!$F$15&lt;&gt;"",'Your debts'!$F$12&lt;&gt;"",'Your debts'!$F$15&lt;'Your debts'!$F$12),BA141,0)))))</f>
        <v/>
      </c>
      <c r="AN141" s="33">
        <f>AL141-AM141</f>
        <v/>
      </c>
      <c r="AO141" s="33">
        <f>IF(AS140&lt;=0,0,ROUND(AS140*(1+'Your debts'!$D$13/1200),2))</f>
        <v/>
      </c>
      <c r="AP141" s="33">
        <f>IF(AO141&lt;=0,0,MIN('Your debts'!$E$13,AO141))</f>
        <v/>
      </c>
      <c r="AQ141" s="33">
        <f>AO141-AP141</f>
        <v/>
      </c>
      <c r="AR141" s="33">
        <f>IF('Your debts'!$F$13="",0,MIN(AQ141,MAX(0,MAX(0,'Your debts'!$C$19-(G141+L141+Q141+V141+AA141+AF141+AK141+AP141+AU141+AZ141))-(IF(AND('Your debts'!$F$6&lt;&gt;"",'Your debts'!$F$13&lt;&gt;"",'Your debts'!$F$6&lt;'Your debts'!$F$13),H141,0)+IF(AND('Your debts'!$F$7&lt;&gt;"",'Your debts'!$F$13&lt;&gt;"",'Your debts'!$F$7&lt;'Your debts'!$F$13),M141,0)+IF(AND('Your debts'!$F$8&lt;&gt;"",'Your debts'!$F$13&lt;&gt;"",'Your debts'!$F$8&lt;'Your debts'!$F$13),R141,0)+IF(AND('Your debts'!$F$9&lt;&gt;"",'Your debts'!$F$13&lt;&gt;"",'Your debts'!$F$9&lt;'Your debts'!$F$13),W141,0)+IF(AND('Your debts'!$F$10&lt;&gt;"",'Your debts'!$F$13&lt;&gt;"",'Your debts'!$F$10&lt;'Your debts'!$F$13),AB141,0)+IF(AND('Your debts'!$F$11&lt;&gt;"",'Your debts'!$F$13&lt;&gt;"",'Your debts'!$F$11&lt;'Your debts'!$F$13),AG141,0)+IF(AND('Your debts'!$F$12&lt;&gt;"",'Your debts'!$F$13&lt;&gt;"",'Your debts'!$F$12&lt;'Your debts'!$F$13),AL141,0)+IF(AND('Your debts'!$F$14&lt;&gt;"",'Your debts'!$F$13&lt;&gt;"",'Your debts'!$F$14&lt;'Your debts'!$F$13),AV141,0)+IF(AND('Your debts'!$F$15&lt;&gt;"",'Your debts'!$F$13&lt;&gt;"",'Your debts'!$F$15&lt;'Your debts'!$F$13),BA141,0)))))</f>
        <v/>
      </c>
      <c r="AS141" s="33">
        <f>AQ141-AR141</f>
        <v/>
      </c>
      <c r="AT141" s="33">
        <f>IF(AX140&lt;=0,0,ROUND(AX140*(1+'Your debts'!$D$14/1200),2))</f>
        <v/>
      </c>
      <c r="AU141" s="33">
        <f>IF(AT141&lt;=0,0,MIN('Your debts'!$E$14,AT141))</f>
        <v/>
      </c>
      <c r="AV141" s="33">
        <f>AT141-AU141</f>
        <v/>
      </c>
      <c r="AW141" s="33">
        <f>IF('Your debts'!$F$14="",0,MIN(AV141,MAX(0,MAX(0,'Your debts'!$C$19-(G141+L141+Q141+V141+AA141+AF141+AK141+AP141+AU141+AZ141))-(IF(AND('Your debts'!$F$6&lt;&gt;"",'Your debts'!$F$14&lt;&gt;"",'Your debts'!$F$6&lt;'Your debts'!$F$14),H141,0)+IF(AND('Your debts'!$F$7&lt;&gt;"",'Your debts'!$F$14&lt;&gt;"",'Your debts'!$F$7&lt;'Your debts'!$F$14),M141,0)+IF(AND('Your debts'!$F$8&lt;&gt;"",'Your debts'!$F$14&lt;&gt;"",'Your debts'!$F$8&lt;'Your debts'!$F$14),R141,0)+IF(AND('Your debts'!$F$9&lt;&gt;"",'Your debts'!$F$14&lt;&gt;"",'Your debts'!$F$9&lt;'Your debts'!$F$14),W141,0)+IF(AND('Your debts'!$F$10&lt;&gt;"",'Your debts'!$F$14&lt;&gt;"",'Your debts'!$F$10&lt;'Your debts'!$F$14),AB141,0)+IF(AND('Your debts'!$F$11&lt;&gt;"",'Your debts'!$F$14&lt;&gt;"",'Your debts'!$F$11&lt;'Your debts'!$F$14),AG141,0)+IF(AND('Your debts'!$F$12&lt;&gt;"",'Your debts'!$F$14&lt;&gt;"",'Your debts'!$F$12&lt;'Your debts'!$F$14),AL141,0)+IF(AND('Your debts'!$F$13&lt;&gt;"",'Your debts'!$F$14&lt;&gt;"",'Your debts'!$F$13&lt;'Your debts'!$F$14),AQ141,0)+IF(AND('Your debts'!$F$15&lt;&gt;"",'Your debts'!$F$14&lt;&gt;"",'Your debts'!$F$15&lt;'Your debts'!$F$14),BA141,0)))))</f>
        <v/>
      </c>
      <c r="AX141" s="33">
        <f>AV141-AW141</f>
        <v/>
      </c>
      <c r="AY141" s="33">
        <f>IF(BC140&lt;=0,0,ROUND(BC140*(1+'Your debts'!$D$15/1200),2))</f>
        <v/>
      </c>
      <c r="AZ141" s="33">
        <f>IF(AY141&lt;=0,0,MIN('Your debts'!$E$15,AY141))</f>
        <v/>
      </c>
      <c r="BA141" s="33">
        <f>AY141-AZ141</f>
        <v/>
      </c>
      <c r="BB141" s="33">
        <f>IF('Your debts'!$F$15="",0,MIN(BA141,MAX(0,MAX(0,'Your debts'!$C$19-(G141+L141+Q141+V141+AA141+AF141+AK141+AP141+AU141+AZ141))-(IF(AND('Your debts'!$F$6&lt;&gt;"",'Your debts'!$F$15&lt;&gt;"",'Your debts'!$F$6&lt;'Your debts'!$F$15),H141,0)+IF(AND('Your debts'!$F$7&lt;&gt;"",'Your debts'!$F$15&lt;&gt;"",'Your debts'!$F$7&lt;'Your debts'!$F$15),M141,0)+IF(AND('Your debts'!$F$8&lt;&gt;"",'Your debts'!$F$15&lt;&gt;"",'Your debts'!$F$8&lt;'Your debts'!$F$15),R141,0)+IF(AND('Your debts'!$F$9&lt;&gt;"",'Your debts'!$F$15&lt;&gt;"",'Your debts'!$F$9&lt;'Your debts'!$F$15),W141,0)+IF(AND('Your debts'!$F$10&lt;&gt;"",'Your debts'!$F$15&lt;&gt;"",'Your debts'!$F$10&lt;'Your debts'!$F$15),AB141,0)+IF(AND('Your debts'!$F$11&lt;&gt;"",'Your debts'!$F$15&lt;&gt;"",'Your debts'!$F$11&lt;'Your debts'!$F$15),AG141,0)+IF(AND('Your debts'!$F$12&lt;&gt;"",'Your debts'!$F$15&lt;&gt;"",'Your debts'!$F$12&lt;'Your debts'!$F$15),AL141,0)+IF(AND('Your debts'!$F$13&lt;&gt;"",'Your debts'!$F$15&lt;&gt;"",'Your debts'!$F$13&lt;'Your debts'!$F$15),AQ141,0)+IF(AND('Your debts'!$F$14&lt;&gt;"",'Your debts'!$F$15&lt;&gt;"",'Your debts'!$F$14&lt;'Your debts'!$F$15),AV141,0)))))</f>
        <v/>
      </c>
      <c r="BC141" s="33">
        <f>BA141-BB141</f>
        <v/>
      </c>
    </row>
    <row r="142">
      <c r="A142" s="30" t="n">
        <v>127</v>
      </c>
      <c r="B142" s="31">
        <f>EDATE($B$15,127)</f>
        <v/>
      </c>
      <c r="C142" s="32">
        <f>IF(J141&lt;=0,0,F142-J141)+IF(O141&lt;=0,0,K142-O141)+IF(T141&lt;=0,0,P142-T141)+IF(Y141&lt;=0,0,U142-Y141)+IF(AD141&lt;=0,0,Z142-AD141)+IF(AI141&lt;=0,0,AE142-AI141)+IF(AN141&lt;=0,0,AJ142-AN141)+IF(AS141&lt;=0,0,AO142-AS141)+IF(AX141&lt;=0,0,AT142-AX141)+IF(BC141&lt;=0,0,AY142-BC141)</f>
        <v/>
      </c>
      <c r="D142" s="32">
        <f>G142+I142+L142+N142+Q142+S142+V142+X142+AA142+AC142+AF142+AH142+AK142+AM142+AP142+AR142+AU142+AW142+AZ142+BB142</f>
        <v/>
      </c>
      <c r="E142" s="32">
        <f>J142+O142+T142+Y142+AD142+AI142+AN142+AS142+AX142+BC142</f>
        <v/>
      </c>
      <c r="F142" s="33">
        <f>IF(J141&lt;=0,0,ROUND(J141*(1+'Your debts'!$D$6/1200),2))</f>
        <v/>
      </c>
      <c r="G142" s="33">
        <f>IF(F142&lt;=0,0,MIN('Your debts'!$E$6,F142))</f>
        <v/>
      </c>
      <c r="H142" s="33">
        <f>F142-G142</f>
        <v/>
      </c>
      <c r="I142" s="33">
        <f>IF('Your debts'!$F$6="",0,MIN(H142,MAX(0,MAX(0,'Your debts'!$C$19-(G142+L142+Q142+V142+AA142+AF142+AK142+AP142+AU142+AZ142))-(IF(AND('Your debts'!$F$7&lt;&gt;"",'Your debts'!$F$6&lt;&gt;"",'Your debts'!$F$7&lt;'Your debts'!$F$6),M142,0)+IF(AND('Your debts'!$F$8&lt;&gt;"",'Your debts'!$F$6&lt;&gt;"",'Your debts'!$F$8&lt;'Your debts'!$F$6),R142,0)+IF(AND('Your debts'!$F$9&lt;&gt;"",'Your debts'!$F$6&lt;&gt;"",'Your debts'!$F$9&lt;'Your debts'!$F$6),W142,0)+IF(AND('Your debts'!$F$10&lt;&gt;"",'Your debts'!$F$6&lt;&gt;"",'Your debts'!$F$10&lt;'Your debts'!$F$6),AB142,0)+IF(AND('Your debts'!$F$11&lt;&gt;"",'Your debts'!$F$6&lt;&gt;"",'Your debts'!$F$11&lt;'Your debts'!$F$6),AG142,0)+IF(AND('Your debts'!$F$12&lt;&gt;"",'Your debts'!$F$6&lt;&gt;"",'Your debts'!$F$12&lt;'Your debts'!$F$6),AL142,0)+IF(AND('Your debts'!$F$13&lt;&gt;"",'Your debts'!$F$6&lt;&gt;"",'Your debts'!$F$13&lt;'Your debts'!$F$6),AQ142,0)+IF(AND('Your debts'!$F$14&lt;&gt;"",'Your debts'!$F$6&lt;&gt;"",'Your debts'!$F$14&lt;'Your debts'!$F$6),AV142,0)+IF(AND('Your debts'!$F$15&lt;&gt;"",'Your debts'!$F$6&lt;&gt;"",'Your debts'!$F$15&lt;'Your debts'!$F$6),BA142,0)))))</f>
        <v/>
      </c>
      <c r="J142" s="33">
        <f>H142-I142</f>
        <v/>
      </c>
      <c r="K142" s="33">
        <f>IF(O141&lt;=0,0,ROUND(O141*(1+'Your debts'!$D$7/1200),2))</f>
        <v/>
      </c>
      <c r="L142" s="33">
        <f>IF(K142&lt;=0,0,MIN('Your debts'!$E$7,K142))</f>
        <v/>
      </c>
      <c r="M142" s="33">
        <f>K142-L142</f>
        <v/>
      </c>
      <c r="N142" s="33">
        <f>IF('Your debts'!$F$7="",0,MIN(M142,MAX(0,MAX(0,'Your debts'!$C$19-(G142+L142+Q142+V142+AA142+AF142+AK142+AP142+AU142+AZ142))-(IF(AND('Your debts'!$F$6&lt;&gt;"",'Your debts'!$F$7&lt;&gt;"",'Your debts'!$F$6&lt;'Your debts'!$F$7),H142,0)+IF(AND('Your debts'!$F$8&lt;&gt;"",'Your debts'!$F$7&lt;&gt;"",'Your debts'!$F$8&lt;'Your debts'!$F$7),R142,0)+IF(AND('Your debts'!$F$9&lt;&gt;"",'Your debts'!$F$7&lt;&gt;"",'Your debts'!$F$9&lt;'Your debts'!$F$7),W142,0)+IF(AND('Your debts'!$F$10&lt;&gt;"",'Your debts'!$F$7&lt;&gt;"",'Your debts'!$F$10&lt;'Your debts'!$F$7),AB142,0)+IF(AND('Your debts'!$F$11&lt;&gt;"",'Your debts'!$F$7&lt;&gt;"",'Your debts'!$F$11&lt;'Your debts'!$F$7),AG142,0)+IF(AND('Your debts'!$F$12&lt;&gt;"",'Your debts'!$F$7&lt;&gt;"",'Your debts'!$F$12&lt;'Your debts'!$F$7),AL142,0)+IF(AND('Your debts'!$F$13&lt;&gt;"",'Your debts'!$F$7&lt;&gt;"",'Your debts'!$F$13&lt;'Your debts'!$F$7),AQ142,0)+IF(AND('Your debts'!$F$14&lt;&gt;"",'Your debts'!$F$7&lt;&gt;"",'Your debts'!$F$14&lt;'Your debts'!$F$7),AV142,0)+IF(AND('Your debts'!$F$15&lt;&gt;"",'Your debts'!$F$7&lt;&gt;"",'Your debts'!$F$15&lt;'Your debts'!$F$7),BA142,0)))))</f>
        <v/>
      </c>
      <c r="O142" s="33">
        <f>M142-N142</f>
        <v/>
      </c>
      <c r="P142" s="33">
        <f>IF(T141&lt;=0,0,ROUND(T141*(1+'Your debts'!$D$8/1200),2))</f>
        <v/>
      </c>
      <c r="Q142" s="33">
        <f>IF(P142&lt;=0,0,MIN('Your debts'!$E$8,P142))</f>
        <v/>
      </c>
      <c r="R142" s="33">
        <f>P142-Q142</f>
        <v/>
      </c>
      <c r="S142" s="33">
        <f>IF('Your debts'!$F$8="",0,MIN(R142,MAX(0,MAX(0,'Your debts'!$C$19-(G142+L142+Q142+V142+AA142+AF142+AK142+AP142+AU142+AZ142))-(IF(AND('Your debts'!$F$6&lt;&gt;"",'Your debts'!$F$8&lt;&gt;"",'Your debts'!$F$6&lt;'Your debts'!$F$8),H142,0)+IF(AND('Your debts'!$F$7&lt;&gt;"",'Your debts'!$F$8&lt;&gt;"",'Your debts'!$F$7&lt;'Your debts'!$F$8),M142,0)+IF(AND('Your debts'!$F$9&lt;&gt;"",'Your debts'!$F$8&lt;&gt;"",'Your debts'!$F$9&lt;'Your debts'!$F$8),W142,0)+IF(AND('Your debts'!$F$10&lt;&gt;"",'Your debts'!$F$8&lt;&gt;"",'Your debts'!$F$10&lt;'Your debts'!$F$8),AB142,0)+IF(AND('Your debts'!$F$11&lt;&gt;"",'Your debts'!$F$8&lt;&gt;"",'Your debts'!$F$11&lt;'Your debts'!$F$8),AG142,0)+IF(AND('Your debts'!$F$12&lt;&gt;"",'Your debts'!$F$8&lt;&gt;"",'Your debts'!$F$12&lt;'Your debts'!$F$8),AL142,0)+IF(AND('Your debts'!$F$13&lt;&gt;"",'Your debts'!$F$8&lt;&gt;"",'Your debts'!$F$13&lt;'Your debts'!$F$8),AQ142,0)+IF(AND('Your debts'!$F$14&lt;&gt;"",'Your debts'!$F$8&lt;&gt;"",'Your debts'!$F$14&lt;'Your debts'!$F$8),AV142,0)+IF(AND('Your debts'!$F$15&lt;&gt;"",'Your debts'!$F$8&lt;&gt;"",'Your debts'!$F$15&lt;'Your debts'!$F$8),BA142,0)))))</f>
        <v/>
      </c>
      <c r="T142" s="33">
        <f>R142-S142</f>
        <v/>
      </c>
      <c r="U142" s="33">
        <f>IF(Y141&lt;=0,0,ROUND(Y141*(1+'Your debts'!$D$9/1200),2))</f>
        <v/>
      </c>
      <c r="V142" s="33">
        <f>IF(U142&lt;=0,0,MIN('Your debts'!$E$9,U142))</f>
        <v/>
      </c>
      <c r="W142" s="33">
        <f>U142-V142</f>
        <v/>
      </c>
      <c r="X142" s="33">
        <f>IF('Your debts'!$F$9="",0,MIN(W142,MAX(0,MAX(0,'Your debts'!$C$19-(G142+L142+Q142+V142+AA142+AF142+AK142+AP142+AU142+AZ142))-(IF(AND('Your debts'!$F$6&lt;&gt;"",'Your debts'!$F$9&lt;&gt;"",'Your debts'!$F$6&lt;'Your debts'!$F$9),H142,0)+IF(AND('Your debts'!$F$7&lt;&gt;"",'Your debts'!$F$9&lt;&gt;"",'Your debts'!$F$7&lt;'Your debts'!$F$9),M142,0)+IF(AND('Your debts'!$F$8&lt;&gt;"",'Your debts'!$F$9&lt;&gt;"",'Your debts'!$F$8&lt;'Your debts'!$F$9),R142,0)+IF(AND('Your debts'!$F$10&lt;&gt;"",'Your debts'!$F$9&lt;&gt;"",'Your debts'!$F$10&lt;'Your debts'!$F$9),AB142,0)+IF(AND('Your debts'!$F$11&lt;&gt;"",'Your debts'!$F$9&lt;&gt;"",'Your debts'!$F$11&lt;'Your debts'!$F$9),AG142,0)+IF(AND('Your debts'!$F$12&lt;&gt;"",'Your debts'!$F$9&lt;&gt;"",'Your debts'!$F$12&lt;'Your debts'!$F$9),AL142,0)+IF(AND('Your debts'!$F$13&lt;&gt;"",'Your debts'!$F$9&lt;&gt;"",'Your debts'!$F$13&lt;'Your debts'!$F$9),AQ142,0)+IF(AND('Your debts'!$F$14&lt;&gt;"",'Your debts'!$F$9&lt;&gt;"",'Your debts'!$F$14&lt;'Your debts'!$F$9),AV142,0)+IF(AND('Your debts'!$F$15&lt;&gt;"",'Your debts'!$F$9&lt;&gt;"",'Your debts'!$F$15&lt;'Your debts'!$F$9),BA142,0)))))</f>
        <v/>
      </c>
      <c r="Y142" s="33">
        <f>W142-X142</f>
        <v/>
      </c>
      <c r="Z142" s="33">
        <f>IF(AD141&lt;=0,0,ROUND(AD141*(1+'Your debts'!$D$10/1200),2))</f>
        <v/>
      </c>
      <c r="AA142" s="33">
        <f>IF(Z142&lt;=0,0,MIN('Your debts'!$E$10,Z142))</f>
        <v/>
      </c>
      <c r="AB142" s="33">
        <f>Z142-AA142</f>
        <v/>
      </c>
      <c r="AC142" s="33">
        <f>IF('Your debts'!$F$10="",0,MIN(AB142,MAX(0,MAX(0,'Your debts'!$C$19-(G142+L142+Q142+V142+AA142+AF142+AK142+AP142+AU142+AZ142))-(IF(AND('Your debts'!$F$6&lt;&gt;"",'Your debts'!$F$10&lt;&gt;"",'Your debts'!$F$6&lt;'Your debts'!$F$10),H142,0)+IF(AND('Your debts'!$F$7&lt;&gt;"",'Your debts'!$F$10&lt;&gt;"",'Your debts'!$F$7&lt;'Your debts'!$F$10),M142,0)+IF(AND('Your debts'!$F$8&lt;&gt;"",'Your debts'!$F$10&lt;&gt;"",'Your debts'!$F$8&lt;'Your debts'!$F$10),R142,0)+IF(AND('Your debts'!$F$9&lt;&gt;"",'Your debts'!$F$10&lt;&gt;"",'Your debts'!$F$9&lt;'Your debts'!$F$10),W142,0)+IF(AND('Your debts'!$F$11&lt;&gt;"",'Your debts'!$F$10&lt;&gt;"",'Your debts'!$F$11&lt;'Your debts'!$F$10),AG142,0)+IF(AND('Your debts'!$F$12&lt;&gt;"",'Your debts'!$F$10&lt;&gt;"",'Your debts'!$F$12&lt;'Your debts'!$F$10),AL142,0)+IF(AND('Your debts'!$F$13&lt;&gt;"",'Your debts'!$F$10&lt;&gt;"",'Your debts'!$F$13&lt;'Your debts'!$F$10),AQ142,0)+IF(AND('Your debts'!$F$14&lt;&gt;"",'Your debts'!$F$10&lt;&gt;"",'Your debts'!$F$14&lt;'Your debts'!$F$10),AV142,0)+IF(AND('Your debts'!$F$15&lt;&gt;"",'Your debts'!$F$10&lt;&gt;"",'Your debts'!$F$15&lt;'Your debts'!$F$10),BA142,0)))))</f>
        <v/>
      </c>
      <c r="AD142" s="33">
        <f>AB142-AC142</f>
        <v/>
      </c>
      <c r="AE142" s="33">
        <f>IF(AI141&lt;=0,0,ROUND(AI141*(1+'Your debts'!$D$11/1200),2))</f>
        <v/>
      </c>
      <c r="AF142" s="33">
        <f>IF(AE142&lt;=0,0,MIN('Your debts'!$E$11,AE142))</f>
        <v/>
      </c>
      <c r="AG142" s="33">
        <f>AE142-AF142</f>
        <v/>
      </c>
      <c r="AH142" s="33">
        <f>IF('Your debts'!$F$11="",0,MIN(AG142,MAX(0,MAX(0,'Your debts'!$C$19-(G142+L142+Q142+V142+AA142+AF142+AK142+AP142+AU142+AZ142))-(IF(AND('Your debts'!$F$6&lt;&gt;"",'Your debts'!$F$11&lt;&gt;"",'Your debts'!$F$6&lt;'Your debts'!$F$11),H142,0)+IF(AND('Your debts'!$F$7&lt;&gt;"",'Your debts'!$F$11&lt;&gt;"",'Your debts'!$F$7&lt;'Your debts'!$F$11),M142,0)+IF(AND('Your debts'!$F$8&lt;&gt;"",'Your debts'!$F$11&lt;&gt;"",'Your debts'!$F$8&lt;'Your debts'!$F$11),R142,0)+IF(AND('Your debts'!$F$9&lt;&gt;"",'Your debts'!$F$11&lt;&gt;"",'Your debts'!$F$9&lt;'Your debts'!$F$11),W142,0)+IF(AND('Your debts'!$F$10&lt;&gt;"",'Your debts'!$F$11&lt;&gt;"",'Your debts'!$F$10&lt;'Your debts'!$F$11),AB142,0)+IF(AND('Your debts'!$F$12&lt;&gt;"",'Your debts'!$F$11&lt;&gt;"",'Your debts'!$F$12&lt;'Your debts'!$F$11),AL142,0)+IF(AND('Your debts'!$F$13&lt;&gt;"",'Your debts'!$F$11&lt;&gt;"",'Your debts'!$F$13&lt;'Your debts'!$F$11),AQ142,0)+IF(AND('Your debts'!$F$14&lt;&gt;"",'Your debts'!$F$11&lt;&gt;"",'Your debts'!$F$14&lt;'Your debts'!$F$11),AV142,0)+IF(AND('Your debts'!$F$15&lt;&gt;"",'Your debts'!$F$11&lt;&gt;"",'Your debts'!$F$15&lt;'Your debts'!$F$11),BA142,0)))))</f>
        <v/>
      </c>
      <c r="AI142" s="33">
        <f>AG142-AH142</f>
        <v/>
      </c>
      <c r="AJ142" s="33">
        <f>IF(AN141&lt;=0,0,ROUND(AN141*(1+'Your debts'!$D$12/1200),2))</f>
        <v/>
      </c>
      <c r="AK142" s="33">
        <f>IF(AJ142&lt;=0,0,MIN('Your debts'!$E$12,AJ142))</f>
        <v/>
      </c>
      <c r="AL142" s="33">
        <f>AJ142-AK142</f>
        <v/>
      </c>
      <c r="AM142" s="33">
        <f>IF('Your debts'!$F$12="",0,MIN(AL142,MAX(0,MAX(0,'Your debts'!$C$19-(G142+L142+Q142+V142+AA142+AF142+AK142+AP142+AU142+AZ142))-(IF(AND('Your debts'!$F$6&lt;&gt;"",'Your debts'!$F$12&lt;&gt;"",'Your debts'!$F$6&lt;'Your debts'!$F$12),H142,0)+IF(AND('Your debts'!$F$7&lt;&gt;"",'Your debts'!$F$12&lt;&gt;"",'Your debts'!$F$7&lt;'Your debts'!$F$12),M142,0)+IF(AND('Your debts'!$F$8&lt;&gt;"",'Your debts'!$F$12&lt;&gt;"",'Your debts'!$F$8&lt;'Your debts'!$F$12),R142,0)+IF(AND('Your debts'!$F$9&lt;&gt;"",'Your debts'!$F$12&lt;&gt;"",'Your debts'!$F$9&lt;'Your debts'!$F$12),W142,0)+IF(AND('Your debts'!$F$10&lt;&gt;"",'Your debts'!$F$12&lt;&gt;"",'Your debts'!$F$10&lt;'Your debts'!$F$12),AB142,0)+IF(AND('Your debts'!$F$11&lt;&gt;"",'Your debts'!$F$12&lt;&gt;"",'Your debts'!$F$11&lt;'Your debts'!$F$12),AG142,0)+IF(AND('Your debts'!$F$13&lt;&gt;"",'Your debts'!$F$12&lt;&gt;"",'Your debts'!$F$13&lt;'Your debts'!$F$12),AQ142,0)+IF(AND('Your debts'!$F$14&lt;&gt;"",'Your debts'!$F$12&lt;&gt;"",'Your debts'!$F$14&lt;'Your debts'!$F$12),AV142,0)+IF(AND('Your debts'!$F$15&lt;&gt;"",'Your debts'!$F$12&lt;&gt;"",'Your debts'!$F$15&lt;'Your debts'!$F$12),BA142,0)))))</f>
        <v/>
      </c>
      <c r="AN142" s="33">
        <f>AL142-AM142</f>
        <v/>
      </c>
      <c r="AO142" s="33">
        <f>IF(AS141&lt;=0,0,ROUND(AS141*(1+'Your debts'!$D$13/1200),2))</f>
        <v/>
      </c>
      <c r="AP142" s="33">
        <f>IF(AO142&lt;=0,0,MIN('Your debts'!$E$13,AO142))</f>
        <v/>
      </c>
      <c r="AQ142" s="33">
        <f>AO142-AP142</f>
        <v/>
      </c>
      <c r="AR142" s="33">
        <f>IF('Your debts'!$F$13="",0,MIN(AQ142,MAX(0,MAX(0,'Your debts'!$C$19-(G142+L142+Q142+V142+AA142+AF142+AK142+AP142+AU142+AZ142))-(IF(AND('Your debts'!$F$6&lt;&gt;"",'Your debts'!$F$13&lt;&gt;"",'Your debts'!$F$6&lt;'Your debts'!$F$13),H142,0)+IF(AND('Your debts'!$F$7&lt;&gt;"",'Your debts'!$F$13&lt;&gt;"",'Your debts'!$F$7&lt;'Your debts'!$F$13),M142,0)+IF(AND('Your debts'!$F$8&lt;&gt;"",'Your debts'!$F$13&lt;&gt;"",'Your debts'!$F$8&lt;'Your debts'!$F$13),R142,0)+IF(AND('Your debts'!$F$9&lt;&gt;"",'Your debts'!$F$13&lt;&gt;"",'Your debts'!$F$9&lt;'Your debts'!$F$13),W142,0)+IF(AND('Your debts'!$F$10&lt;&gt;"",'Your debts'!$F$13&lt;&gt;"",'Your debts'!$F$10&lt;'Your debts'!$F$13),AB142,0)+IF(AND('Your debts'!$F$11&lt;&gt;"",'Your debts'!$F$13&lt;&gt;"",'Your debts'!$F$11&lt;'Your debts'!$F$13),AG142,0)+IF(AND('Your debts'!$F$12&lt;&gt;"",'Your debts'!$F$13&lt;&gt;"",'Your debts'!$F$12&lt;'Your debts'!$F$13),AL142,0)+IF(AND('Your debts'!$F$14&lt;&gt;"",'Your debts'!$F$13&lt;&gt;"",'Your debts'!$F$14&lt;'Your debts'!$F$13),AV142,0)+IF(AND('Your debts'!$F$15&lt;&gt;"",'Your debts'!$F$13&lt;&gt;"",'Your debts'!$F$15&lt;'Your debts'!$F$13),BA142,0)))))</f>
        <v/>
      </c>
      <c r="AS142" s="33">
        <f>AQ142-AR142</f>
        <v/>
      </c>
      <c r="AT142" s="33">
        <f>IF(AX141&lt;=0,0,ROUND(AX141*(1+'Your debts'!$D$14/1200),2))</f>
        <v/>
      </c>
      <c r="AU142" s="33">
        <f>IF(AT142&lt;=0,0,MIN('Your debts'!$E$14,AT142))</f>
        <v/>
      </c>
      <c r="AV142" s="33">
        <f>AT142-AU142</f>
        <v/>
      </c>
      <c r="AW142" s="33">
        <f>IF('Your debts'!$F$14="",0,MIN(AV142,MAX(0,MAX(0,'Your debts'!$C$19-(G142+L142+Q142+V142+AA142+AF142+AK142+AP142+AU142+AZ142))-(IF(AND('Your debts'!$F$6&lt;&gt;"",'Your debts'!$F$14&lt;&gt;"",'Your debts'!$F$6&lt;'Your debts'!$F$14),H142,0)+IF(AND('Your debts'!$F$7&lt;&gt;"",'Your debts'!$F$14&lt;&gt;"",'Your debts'!$F$7&lt;'Your debts'!$F$14),M142,0)+IF(AND('Your debts'!$F$8&lt;&gt;"",'Your debts'!$F$14&lt;&gt;"",'Your debts'!$F$8&lt;'Your debts'!$F$14),R142,0)+IF(AND('Your debts'!$F$9&lt;&gt;"",'Your debts'!$F$14&lt;&gt;"",'Your debts'!$F$9&lt;'Your debts'!$F$14),W142,0)+IF(AND('Your debts'!$F$10&lt;&gt;"",'Your debts'!$F$14&lt;&gt;"",'Your debts'!$F$10&lt;'Your debts'!$F$14),AB142,0)+IF(AND('Your debts'!$F$11&lt;&gt;"",'Your debts'!$F$14&lt;&gt;"",'Your debts'!$F$11&lt;'Your debts'!$F$14),AG142,0)+IF(AND('Your debts'!$F$12&lt;&gt;"",'Your debts'!$F$14&lt;&gt;"",'Your debts'!$F$12&lt;'Your debts'!$F$14),AL142,0)+IF(AND('Your debts'!$F$13&lt;&gt;"",'Your debts'!$F$14&lt;&gt;"",'Your debts'!$F$13&lt;'Your debts'!$F$14),AQ142,0)+IF(AND('Your debts'!$F$15&lt;&gt;"",'Your debts'!$F$14&lt;&gt;"",'Your debts'!$F$15&lt;'Your debts'!$F$14),BA142,0)))))</f>
        <v/>
      </c>
      <c r="AX142" s="33">
        <f>AV142-AW142</f>
        <v/>
      </c>
      <c r="AY142" s="33">
        <f>IF(BC141&lt;=0,0,ROUND(BC141*(1+'Your debts'!$D$15/1200),2))</f>
        <v/>
      </c>
      <c r="AZ142" s="33">
        <f>IF(AY142&lt;=0,0,MIN('Your debts'!$E$15,AY142))</f>
        <v/>
      </c>
      <c r="BA142" s="33">
        <f>AY142-AZ142</f>
        <v/>
      </c>
      <c r="BB142" s="33">
        <f>IF('Your debts'!$F$15="",0,MIN(BA142,MAX(0,MAX(0,'Your debts'!$C$19-(G142+L142+Q142+V142+AA142+AF142+AK142+AP142+AU142+AZ142))-(IF(AND('Your debts'!$F$6&lt;&gt;"",'Your debts'!$F$15&lt;&gt;"",'Your debts'!$F$6&lt;'Your debts'!$F$15),H142,0)+IF(AND('Your debts'!$F$7&lt;&gt;"",'Your debts'!$F$15&lt;&gt;"",'Your debts'!$F$7&lt;'Your debts'!$F$15),M142,0)+IF(AND('Your debts'!$F$8&lt;&gt;"",'Your debts'!$F$15&lt;&gt;"",'Your debts'!$F$8&lt;'Your debts'!$F$15),R142,0)+IF(AND('Your debts'!$F$9&lt;&gt;"",'Your debts'!$F$15&lt;&gt;"",'Your debts'!$F$9&lt;'Your debts'!$F$15),W142,0)+IF(AND('Your debts'!$F$10&lt;&gt;"",'Your debts'!$F$15&lt;&gt;"",'Your debts'!$F$10&lt;'Your debts'!$F$15),AB142,0)+IF(AND('Your debts'!$F$11&lt;&gt;"",'Your debts'!$F$15&lt;&gt;"",'Your debts'!$F$11&lt;'Your debts'!$F$15),AG142,0)+IF(AND('Your debts'!$F$12&lt;&gt;"",'Your debts'!$F$15&lt;&gt;"",'Your debts'!$F$12&lt;'Your debts'!$F$15),AL142,0)+IF(AND('Your debts'!$F$13&lt;&gt;"",'Your debts'!$F$15&lt;&gt;"",'Your debts'!$F$13&lt;'Your debts'!$F$15),AQ142,0)+IF(AND('Your debts'!$F$14&lt;&gt;"",'Your debts'!$F$15&lt;&gt;"",'Your debts'!$F$14&lt;'Your debts'!$F$15),AV142,0)))))</f>
        <v/>
      </c>
      <c r="BC142" s="33">
        <f>BA142-BB142</f>
        <v/>
      </c>
    </row>
    <row r="143">
      <c r="A143" s="30" t="n">
        <v>128</v>
      </c>
      <c r="B143" s="31">
        <f>EDATE($B$15,128)</f>
        <v/>
      </c>
      <c r="C143" s="32">
        <f>IF(J142&lt;=0,0,F143-J142)+IF(O142&lt;=0,0,K143-O142)+IF(T142&lt;=0,0,P143-T142)+IF(Y142&lt;=0,0,U143-Y142)+IF(AD142&lt;=0,0,Z143-AD142)+IF(AI142&lt;=0,0,AE143-AI142)+IF(AN142&lt;=0,0,AJ143-AN142)+IF(AS142&lt;=0,0,AO143-AS142)+IF(AX142&lt;=0,0,AT143-AX142)+IF(BC142&lt;=0,0,AY143-BC142)</f>
        <v/>
      </c>
      <c r="D143" s="32">
        <f>G143+I143+L143+N143+Q143+S143+V143+X143+AA143+AC143+AF143+AH143+AK143+AM143+AP143+AR143+AU143+AW143+AZ143+BB143</f>
        <v/>
      </c>
      <c r="E143" s="32">
        <f>J143+O143+T143+Y143+AD143+AI143+AN143+AS143+AX143+BC143</f>
        <v/>
      </c>
      <c r="F143" s="33">
        <f>IF(J142&lt;=0,0,ROUND(J142*(1+'Your debts'!$D$6/1200),2))</f>
        <v/>
      </c>
      <c r="G143" s="33">
        <f>IF(F143&lt;=0,0,MIN('Your debts'!$E$6,F143))</f>
        <v/>
      </c>
      <c r="H143" s="33">
        <f>F143-G143</f>
        <v/>
      </c>
      <c r="I143" s="33">
        <f>IF('Your debts'!$F$6="",0,MIN(H143,MAX(0,MAX(0,'Your debts'!$C$19-(G143+L143+Q143+V143+AA143+AF143+AK143+AP143+AU143+AZ143))-(IF(AND('Your debts'!$F$7&lt;&gt;"",'Your debts'!$F$6&lt;&gt;"",'Your debts'!$F$7&lt;'Your debts'!$F$6),M143,0)+IF(AND('Your debts'!$F$8&lt;&gt;"",'Your debts'!$F$6&lt;&gt;"",'Your debts'!$F$8&lt;'Your debts'!$F$6),R143,0)+IF(AND('Your debts'!$F$9&lt;&gt;"",'Your debts'!$F$6&lt;&gt;"",'Your debts'!$F$9&lt;'Your debts'!$F$6),W143,0)+IF(AND('Your debts'!$F$10&lt;&gt;"",'Your debts'!$F$6&lt;&gt;"",'Your debts'!$F$10&lt;'Your debts'!$F$6),AB143,0)+IF(AND('Your debts'!$F$11&lt;&gt;"",'Your debts'!$F$6&lt;&gt;"",'Your debts'!$F$11&lt;'Your debts'!$F$6),AG143,0)+IF(AND('Your debts'!$F$12&lt;&gt;"",'Your debts'!$F$6&lt;&gt;"",'Your debts'!$F$12&lt;'Your debts'!$F$6),AL143,0)+IF(AND('Your debts'!$F$13&lt;&gt;"",'Your debts'!$F$6&lt;&gt;"",'Your debts'!$F$13&lt;'Your debts'!$F$6),AQ143,0)+IF(AND('Your debts'!$F$14&lt;&gt;"",'Your debts'!$F$6&lt;&gt;"",'Your debts'!$F$14&lt;'Your debts'!$F$6),AV143,0)+IF(AND('Your debts'!$F$15&lt;&gt;"",'Your debts'!$F$6&lt;&gt;"",'Your debts'!$F$15&lt;'Your debts'!$F$6),BA143,0)))))</f>
        <v/>
      </c>
      <c r="J143" s="33">
        <f>H143-I143</f>
        <v/>
      </c>
      <c r="K143" s="33">
        <f>IF(O142&lt;=0,0,ROUND(O142*(1+'Your debts'!$D$7/1200),2))</f>
        <v/>
      </c>
      <c r="L143" s="33">
        <f>IF(K143&lt;=0,0,MIN('Your debts'!$E$7,K143))</f>
        <v/>
      </c>
      <c r="M143" s="33">
        <f>K143-L143</f>
        <v/>
      </c>
      <c r="N143" s="33">
        <f>IF('Your debts'!$F$7="",0,MIN(M143,MAX(0,MAX(0,'Your debts'!$C$19-(G143+L143+Q143+V143+AA143+AF143+AK143+AP143+AU143+AZ143))-(IF(AND('Your debts'!$F$6&lt;&gt;"",'Your debts'!$F$7&lt;&gt;"",'Your debts'!$F$6&lt;'Your debts'!$F$7),H143,0)+IF(AND('Your debts'!$F$8&lt;&gt;"",'Your debts'!$F$7&lt;&gt;"",'Your debts'!$F$8&lt;'Your debts'!$F$7),R143,0)+IF(AND('Your debts'!$F$9&lt;&gt;"",'Your debts'!$F$7&lt;&gt;"",'Your debts'!$F$9&lt;'Your debts'!$F$7),W143,0)+IF(AND('Your debts'!$F$10&lt;&gt;"",'Your debts'!$F$7&lt;&gt;"",'Your debts'!$F$10&lt;'Your debts'!$F$7),AB143,0)+IF(AND('Your debts'!$F$11&lt;&gt;"",'Your debts'!$F$7&lt;&gt;"",'Your debts'!$F$11&lt;'Your debts'!$F$7),AG143,0)+IF(AND('Your debts'!$F$12&lt;&gt;"",'Your debts'!$F$7&lt;&gt;"",'Your debts'!$F$12&lt;'Your debts'!$F$7),AL143,0)+IF(AND('Your debts'!$F$13&lt;&gt;"",'Your debts'!$F$7&lt;&gt;"",'Your debts'!$F$13&lt;'Your debts'!$F$7),AQ143,0)+IF(AND('Your debts'!$F$14&lt;&gt;"",'Your debts'!$F$7&lt;&gt;"",'Your debts'!$F$14&lt;'Your debts'!$F$7),AV143,0)+IF(AND('Your debts'!$F$15&lt;&gt;"",'Your debts'!$F$7&lt;&gt;"",'Your debts'!$F$15&lt;'Your debts'!$F$7),BA143,0)))))</f>
        <v/>
      </c>
      <c r="O143" s="33">
        <f>M143-N143</f>
        <v/>
      </c>
      <c r="P143" s="33">
        <f>IF(T142&lt;=0,0,ROUND(T142*(1+'Your debts'!$D$8/1200),2))</f>
        <v/>
      </c>
      <c r="Q143" s="33">
        <f>IF(P143&lt;=0,0,MIN('Your debts'!$E$8,P143))</f>
        <v/>
      </c>
      <c r="R143" s="33">
        <f>P143-Q143</f>
        <v/>
      </c>
      <c r="S143" s="33">
        <f>IF('Your debts'!$F$8="",0,MIN(R143,MAX(0,MAX(0,'Your debts'!$C$19-(G143+L143+Q143+V143+AA143+AF143+AK143+AP143+AU143+AZ143))-(IF(AND('Your debts'!$F$6&lt;&gt;"",'Your debts'!$F$8&lt;&gt;"",'Your debts'!$F$6&lt;'Your debts'!$F$8),H143,0)+IF(AND('Your debts'!$F$7&lt;&gt;"",'Your debts'!$F$8&lt;&gt;"",'Your debts'!$F$7&lt;'Your debts'!$F$8),M143,0)+IF(AND('Your debts'!$F$9&lt;&gt;"",'Your debts'!$F$8&lt;&gt;"",'Your debts'!$F$9&lt;'Your debts'!$F$8),W143,0)+IF(AND('Your debts'!$F$10&lt;&gt;"",'Your debts'!$F$8&lt;&gt;"",'Your debts'!$F$10&lt;'Your debts'!$F$8),AB143,0)+IF(AND('Your debts'!$F$11&lt;&gt;"",'Your debts'!$F$8&lt;&gt;"",'Your debts'!$F$11&lt;'Your debts'!$F$8),AG143,0)+IF(AND('Your debts'!$F$12&lt;&gt;"",'Your debts'!$F$8&lt;&gt;"",'Your debts'!$F$12&lt;'Your debts'!$F$8),AL143,0)+IF(AND('Your debts'!$F$13&lt;&gt;"",'Your debts'!$F$8&lt;&gt;"",'Your debts'!$F$13&lt;'Your debts'!$F$8),AQ143,0)+IF(AND('Your debts'!$F$14&lt;&gt;"",'Your debts'!$F$8&lt;&gt;"",'Your debts'!$F$14&lt;'Your debts'!$F$8),AV143,0)+IF(AND('Your debts'!$F$15&lt;&gt;"",'Your debts'!$F$8&lt;&gt;"",'Your debts'!$F$15&lt;'Your debts'!$F$8),BA143,0)))))</f>
        <v/>
      </c>
      <c r="T143" s="33">
        <f>R143-S143</f>
        <v/>
      </c>
      <c r="U143" s="33">
        <f>IF(Y142&lt;=0,0,ROUND(Y142*(1+'Your debts'!$D$9/1200),2))</f>
        <v/>
      </c>
      <c r="V143" s="33">
        <f>IF(U143&lt;=0,0,MIN('Your debts'!$E$9,U143))</f>
        <v/>
      </c>
      <c r="W143" s="33">
        <f>U143-V143</f>
        <v/>
      </c>
      <c r="X143" s="33">
        <f>IF('Your debts'!$F$9="",0,MIN(W143,MAX(0,MAX(0,'Your debts'!$C$19-(G143+L143+Q143+V143+AA143+AF143+AK143+AP143+AU143+AZ143))-(IF(AND('Your debts'!$F$6&lt;&gt;"",'Your debts'!$F$9&lt;&gt;"",'Your debts'!$F$6&lt;'Your debts'!$F$9),H143,0)+IF(AND('Your debts'!$F$7&lt;&gt;"",'Your debts'!$F$9&lt;&gt;"",'Your debts'!$F$7&lt;'Your debts'!$F$9),M143,0)+IF(AND('Your debts'!$F$8&lt;&gt;"",'Your debts'!$F$9&lt;&gt;"",'Your debts'!$F$8&lt;'Your debts'!$F$9),R143,0)+IF(AND('Your debts'!$F$10&lt;&gt;"",'Your debts'!$F$9&lt;&gt;"",'Your debts'!$F$10&lt;'Your debts'!$F$9),AB143,0)+IF(AND('Your debts'!$F$11&lt;&gt;"",'Your debts'!$F$9&lt;&gt;"",'Your debts'!$F$11&lt;'Your debts'!$F$9),AG143,0)+IF(AND('Your debts'!$F$12&lt;&gt;"",'Your debts'!$F$9&lt;&gt;"",'Your debts'!$F$12&lt;'Your debts'!$F$9),AL143,0)+IF(AND('Your debts'!$F$13&lt;&gt;"",'Your debts'!$F$9&lt;&gt;"",'Your debts'!$F$13&lt;'Your debts'!$F$9),AQ143,0)+IF(AND('Your debts'!$F$14&lt;&gt;"",'Your debts'!$F$9&lt;&gt;"",'Your debts'!$F$14&lt;'Your debts'!$F$9),AV143,0)+IF(AND('Your debts'!$F$15&lt;&gt;"",'Your debts'!$F$9&lt;&gt;"",'Your debts'!$F$15&lt;'Your debts'!$F$9),BA143,0)))))</f>
        <v/>
      </c>
      <c r="Y143" s="33">
        <f>W143-X143</f>
        <v/>
      </c>
      <c r="Z143" s="33">
        <f>IF(AD142&lt;=0,0,ROUND(AD142*(1+'Your debts'!$D$10/1200),2))</f>
        <v/>
      </c>
      <c r="AA143" s="33">
        <f>IF(Z143&lt;=0,0,MIN('Your debts'!$E$10,Z143))</f>
        <v/>
      </c>
      <c r="AB143" s="33">
        <f>Z143-AA143</f>
        <v/>
      </c>
      <c r="AC143" s="33">
        <f>IF('Your debts'!$F$10="",0,MIN(AB143,MAX(0,MAX(0,'Your debts'!$C$19-(G143+L143+Q143+V143+AA143+AF143+AK143+AP143+AU143+AZ143))-(IF(AND('Your debts'!$F$6&lt;&gt;"",'Your debts'!$F$10&lt;&gt;"",'Your debts'!$F$6&lt;'Your debts'!$F$10),H143,0)+IF(AND('Your debts'!$F$7&lt;&gt;"",'Your debts'!$F$10&lt;&gt;"",'Your debts'!$F$7&lt;'Your debts'!$F$10),M143,0)+IF(AND('Your debts'!$F$8&lt;&gt;"",'Your debts'!$F$10&lt;&gt;"",'Your debts'!$F$8&lt;'Your debts'!$F$10),R143,0)+IF(AND('Your debts'!$F$9&lt;&gt;"",'Your debts'!$F$10&lt;&gt;"",'Your debts'!$F$9&lt;'Your debts'!$F$10),W143,0)+IF(AND('Your debts'!$F$11&lt;&gt;"",'Your debts'!$F$10&lt;&gt;"",'Your debts'!$F$11&lt;'Your debts'!$F$10),AG143,0)+IF(AND('Your debts'!$F$12&lt;&gt;"",'Your debts'!$F$10&lt;&gt;"",'Your debts'!$F$12&lt;'Your debts'!$F$10),AL143,0)+IF(AND('Your debts'!$F$13&lt;&gt;"",'Your debts'!$F$10&lt;&gt;"",'Your debts'!$F$13&lt;'Your debts'!$F$10),AQ143,0)+IF(AND('Your debts'!$F$14&lt;&gt;"",'Your debts'!$F$10&lt;&gt;"",'Your debts'!$F$14&lt;'Your debts'!$F$10),AV143,0)+IF(AND('Your debts'!$F$15&lt;&gt;"",'Your debts'!$F$10&lt;&gt;"",'Your debts'!$F$15&lt;'Your debts'!$F$10),BA143,0)))))</f>
        <v/>
      </c>
      <c r="AD143" s="33">
        <f>AB143-AC143</f>
        <v/>
      </c>
      <c r="AE143" s="33">
        <f>IF(AI142&lt;=0,0,ROUND(AI142*(1+'Your debts'!$D$11/1200),2))</f>
        <v/>
      </c>
      <c r="AF143" s="33">
        <f>IF(AE143&lt;=0,0,MIN('Your debts'!$E$11,AE143))</f>
        <v/>
      </c>
      <c r="AG143" s="33">
        <f>AE143-AF143</f>
        <v/>
      </c>
      <c r="AH143" s="33">
        <f>IF('Your debts'!$F$11="",0,MIN(AG143,MAX(0,MAX(0,'Your debts'!$C$19-(G143+L143+Q143+V143+AA143+AF143+AK143+AP143+AU143+AZ143))-(IF(AND('Your debts'!$F$6&lt;&gt;"",'Your debts'!$F$11&lt;&gt;"",'Your debts'!$F$6&lt;'Your debts'!$F$11),H143,0)+IF(AND('Your debts'!$F$7&lt;&gt;"",'Your debts'!$F$11&lt;&gt;"",'Your debts'!$F$7&lt;'Your debts'!$F$11),M143,0)+IF(AND('Your debts'!$F$8&lt;&gt;"",'Your debts'!$F$11&lt;&gt;"",'Your debts'!$F$8&lt;'Your debts'!$F$11),R143,0)+IF(AND('Your debts'!$F$9&lt;&gt;"",'Your debts'!$F$11&lt;&gt;"",'Your debts'!$F$9&lt;'Your debts'!$F$11),W143,0)+IF(AND('Your debts'!$F$10&lt;&gt;"",'Your debts'!$F$11&lt;&gt;"",'Your debts'!$F$10&lt;'Your debts'!$F$11),AB143,0)+IF(AND('Your debts'!$F$12&lt;&gt;"",'Your debts'!$F$11&lt;&gt;"",'Your debts'!$F$12&lt;'Your debts'!$F$11),AL143,0)+IF(AND('Your debts'!$F$13&lt;&gt;"",'Your debts'!$F$11&lt;&gt;"",'Your debts'!$F$13&lt;'Your debts'!$F$11),AQ143,0)+IF(AND('Your debts'!$F$14&lt;&gt;"",'Your debts'!$F$11&lt;&gt;"",'Your debts'!$F$14&lt;'Your debts'!$F$11),AV143,0)+IF(AND('Your debts'!$F$15&lt;&gt;"",'Your debts'!$F$11&lt;&gt;"",'Your debts'!$F$15&lt;'Your debts'!$F$11),BA143,0)))))</f>
        <v/>
      </c>
      <c r="AI143" s="33">
        <f>AG143-AH143</f>
        <v/>
      </c>
      <c r="AJ143" s="33">
        <f>IF(AN142&lt;=0,0,ROUND(AN142*(1+'Your debts'!$D$12/1200),2))</f>
        <v/>
      </c>
      <c r="AK143" s="33">
        <f>IF(AJ143&lt;=0,0,MIN('Your debts'!$E$12,AJ143))</f>
        <v/>
      </c>
      <c r="AL143" s="33">
        <f>AJ143-AK143</f>
        <v/>
      </c>
      <c r="AM143" s="33">
        <f>IF('Your debts'!$F$12="",0,MIN(AL143,MAX(0,MAX(0,'Your debts'!$C$19-(G143+L143+Q143+V143+AA143+AF143+AK143+AP143+AU143+AZ143))-(IF(AND('Your debts'!$F$6&lt;&gt;"",'Your debts'!$F$12&lt;&gt;"",'Your debts'!$F$6&lt;'Your debts'!$F$12),H143,0)+IF(AND('Your debts'!$F$7&lt;&gt;"",'Your debts'!$F$12&lt;&gt;"",'Your debts'!$F$7&lt;'Your debts'!$F$12),M143,0)+IF(AND('Your debts'!$F$8&lt;&gt;"",'Your debts'!$F$12&lt;&gt;"",'Your debts'!$F$8&lt;'Your debts'!$F$12),R143,0)+IF(AND('Your debts'!$F$9&lt;&gt;"",'Your debts'!$F$12&lt;&gt;"",'Your debts'!$F$9&lt;'Your debts'!$F$12),W143,0)+IF(AND('Your debts'!$F$10&lt;&gt;"",'Your debts'!$F$12&lt;&gt;"",'Your debts'!$F$10&lt;'Your debts'!$F$12),AB143,0)+IF(AND('Your debts'!$F$11&lt;&gt;"",'Your debts'!$F$12&lt;&gt;"",'Your debts'!$F$11&lt;'Your debts'!$F$12),AG143,0)+IF(AND('Your debts'!$F$13&lt;&gt;"",'Your debts'!$F$12&lt;&gt;"",'Your debts'!$F$13&lt;'Your debts'!$F$12),AQ143,0)+IF(AND('Your debts'!$F$14&lt;&gt;"",'Your debts'!$F$12&lt;&gt;"",'Your debts'!$F$14&lt;'Your debts'!$F$12),AV143,0)+IF(AND('Your debts'!$F$15&lt;&gt;"",'Your debts'!$F$12&lt;&gt;"",'Your debts'!$F$15&lt;'Your debts'!$F$12),BA143,0)))))</f>
        <v/>
      </c>
      <c r="AN143" s="33">
        <f>AL143-AM143</f>
        <v/>
      </c>
      <c r="AO143" s="33">
        <f>IF(AS142&lt;=0,0,ROUND(AS142*(1+'Your debts'!$D$13/1200),2))</f>
        <v/>
      </c>
      <c r="AP143" s="33">
        <f>IF(AO143&lt;=0,0,MIN('Your debts'!$E$13,AO143))</f>
        <v/>
      </c>
      <c r="AQ143" s="33">
        <f>AO143-AP143</f>
        <v/>
      </c>
      <c r="AR143" s="33">
        <f>IF('Your debts'!$F$13="",0,MIN(AQ143,MAX(0,MAX(0,'Your debts'!$C$19-(G143+L143+Q143+V143+AA143+AF143+AK143+AP143+AU143+AZ143))-(IF(AND('Your debts'!$F$6&lt;&gt;"",'Your debts'!$F$13&lt;&gt;"",'Your debts'!$F$6&lt;'Your debts'!$F$13),H143,0)+IF(AND('Your debts'!$F$7&lt;&gt;"",'Your debts'!$F$13&lt;&gt;"",'Your debts'!$F$7&lt;'Your debts'!$F$13),M143,0)+IF(AND('Your debts'!$F$8&lt;&gt;"",'Your debts'!$F$13&lt;&gt;"",'Your debts'!$F$8&lt;'Your debts'!$F$13),R143,0)+IF(AND('Your debts'!$F$9&lt;&gt;"",'Your debts'!$F$13&lt;&gt;"",'Your debts'!$F$9&lt;'Your debts'!$F$13),W143,0)+IF(AND('Your debts'!$F$10&lt;&gt;"",'Your debts'!$F$13&lt;&gt;"",'Your debts'!$F$10&lt;'Your debts'!$F$13),AB143,0)+IF(AND('Your debts'!$F$11&lt;&gt;"",'Your debts'!$F$13&lt;&gt;"",'Your debts'!$F$11&lt;'Your debts'!$F$13),AG143,0)+IF(AND('Your debts'!$F$12&lt;&gt;"",'Your debts'!$F$13&lt;&gt;"",'Your debts'!$F$12&lt;'Your debts'!$F$13),AL143,0)+IF(AND('Your debts'!$F$14&lt;&gt;"",'Your debts'!$F$13&lt;&gt;"",'Your debts'!$F$14&lt;'Your debts'!$F$13),AV143,0)+IF(AND('Your debts'!$F$15&lt;&gt;"",'Your debts'!$F$13&lt;&gt;"",'Your debts'!$F$15&lt;'Your debts'!$F$13),BA143,0)))))</f>
        <v/>
      </c>
      <c r="AS143" s="33">
        <f>AQ143-AR143</f>
        <v/>
      </c>
      <c r="AT143" s="33">
        <f>IF(AX142&lt;=0,0,ROUND(AX142*(1+'Your debts'!$D$14/1200),2))</f>
        <v/>
      </c>
      <c r="AU143" s="33">
        <f>IF(AT143&lt;=0,0,MIN('Your debts'!$E$14,AT143))</f>
        <v/>
      </c>
      <c r="AV143" s="33">
        <f>AT143-AU143</f>
        <v/>
      </c>
      <c r="AW143" s="33">
        <f>IF('Your debts'!$F$14="",0,MIN(AV143,MAX(0,MAX(0,'Your debts'!$C$19-(G143+L143+Q143+V143+AA143+AF143+AK143+AP143+AU143+AZ143))-(IF(AND('Your debts'!$F$6&lt;&gt;"",'Your debts'!$F$14&lt;&gt;"",'Your debts'!$F$6&lt;'Your debts'!$F$14),H143,0)+IF(AND('Your debts'!$F$7&lt;&gt;"",'Your debts'!$F$14&lt;&gt;"",'Your debts'!$F$7&lt;'Your debts'!$F$14),M143,0)+IF(AND('Your debts'!$F$8&lt;&gt;"",'Your debts'!$F$14&lt;&gt;"",'Your debts'!$F$8&lt;'Your debts'!$F$14),R143,0)+IF(AND('Your debts'!$F$9&lt;&gt;"",'Your debts'!$F$14&lt;&gt;"",'Your debts'!$F$9&lt;'Your debts'!$F$14),W143,0)+IF(AND('Your debts'!$F$10&lt;&gt;"",'Your debts'!$F$14&lt;&gt;"",'Your debts'!$F$10&lt;'Your debts'!$F$14),AB143,0)+IF(AND('Your debts'!$F$11&lt;&gt;"",'Your debts'!$F$14&lt;&gt;"",'Your debts'!$F$11&lt;'Your debts'!$F$14),AG143,0)+IF(AND('Your debts'!$F$12&lt;&gt;"",'Your debts'!$F$14&lt;&gt;"",'Your debts'!$F$12&lt;'Your debts'!$F$14),AL143,0)+IF(AND('Your debts'!$F$13&lt;&gt;"",'Your debts'!$F$14&lt;&gt;"",'Your debts'!$F$13&lt;'Your debts'!$F$14),AQ143,0)+IF(AND('Your debts'!$F$15&lt;&gt;"",'Your debts'!$F$14&lt;&gt;"",'Your debts'!$F$15&lt;'Your debts'!$F$14),BA143,0)))))</f>
        <v/>
      </c>
      <c r="AX143" s="33">
        <f>AV143-AW143</f>
        <v/>
      </c>
      <c r="AY143" s="33">
        <f>IF(BC142&lt;=0,0,ROUND(BC142*(1+'Your debts'!$D$15/1200),2))</f>
        <v/>
      </c>
      <c r="AZ143" s="33">
        <f>IF(AY143&lt;=0,0,MIN('Your debts'!$E$15,AY143))</f>
        <v/>
      </c>
      <c r="BA143" s="33">
        <f>AY143-AZ143</f>
        <v/>
      </c>
      <c r="BB143" s="33">
        <f>IF('Your debts'!$F$15="",0,MIN(BA143,MAX(0,MAX(0,'Your debts'!$C$19-(G143+L143+Q143+V143+AA143+AF143+AK143+AP143+AU143+AZ143))-(IF(AND('Your debts'!$F$6&lt;&gt;"",'Your debts'!$F$15&lt;&gt;"",'Your debts'!$F$6&lt;'Your debts'!$F$15),H143,0)+IF(AND('Your debts'!$F$7&lt;&gt;"",'Your debts'!$F$15&lt;&gt;"",'Your debts'!$F$7&lt;'Your debts'!$F$15),M143,0)+IF(AND('Your debts'!$F$8&lt;&gt;"",'Your debts'!$F$15&lt;&gt;"",'Your debts'!$F$8&lt;'Your debts'!$F$15),R143,0)+IF(AND('Your debts'!$F$9&lt;&gt;"",'Your debts'!$F$15&lt;&gt;"",'Your debts'!$F$9&lt;'Your debts'!$F$15),W143,0)+IF(AND('Your debts'!$F$10&lt;&gt;"",'Your debts'!$F$15&lt;&gt;"",'Your debts'!$F$10&lt;'Your debts'!$F$15),AB143,0)+IF(AND('Your debts'!$F$11&lt;&gt;"",'Your debts'!$F$15&lt;&gt;"",'Your debts'!$F$11&lt;'Your debts'!$F$15),AG143,0)+IF(AND('Your debts'!$F$12&lt;&gt;"",'Your debts'!$F$15&lt;&gt;"",'Your debts'!$F$12&lt;'Your debts'!$F$15),AL143,0)+IF(AND('Your debts'!$F$13&lt;&gt;"",'Your debts'!$F$15&lt;&gt;"",'Your debts'!$F$13&lt;'Your debts'!$F$15),AQ143,0)+IF(AND('Your debts'!$F$14&lt;&gt;"",'Your debts'!$F$15&lt;&gt;"",'Your debts'!$F$14&lt;'Your debts'!$F$15),AV143,0)))))</f>
        <v/>
      </c>
      <c r="BC143" s="33">
        <f>BA143-BB143</f>
        <v/>
      </c>
    </row>
    <row r="144">
      <c r="A144" s="30" t="n">
        <v>129</v>
      </c>
      <c r="B144" s="31">
        <f>EDATE($B$15,129)</f>
        <v/>
      </c>
      <c r="C144" s="32">
        <f>IF(J143&lt;=0,0,F144-J143)+IF(O143&lt;=0,0,K144-O143)+IF(T143&lt;=0,0,P144-T143)+IF(Y143&lt;=0,0,U144-Y143)+IF(AD143&lt;=0,0,Z144-AD143)+IF(AI143&lt;=0,0,AE144-AI143)+IF(AN143&lt;=0,0,AJ144-AN143)+IF(AS143&lt;=0,0,AO144-AS143)+IF(AX143&lt;=0,0,AT144-AX143)+IF(BC143&lt;=0,0,AY144-BC143)</f>
        <v/>
      </c>
      <c r="D144" s="32">
        <f>G144+I144+L144+N144+Q144+S144+V144+X144+AA144+AC144+AF144+AH144+AK144+AM144+AP144+AR144+AU144+AW144+AZ144+BB144</f>
        <v/>
      </c>
      <c r="E144" s="32">
        <f>J144+O144+T144+Y144+AD144+AI144+AN144+AS144+AX144+BC144</f>
        <v/>
      </c>
      <c r="F144" s="33">
        <f>IF(J143&lt;=0,0,ROUND(J143*(1+'Your debts'!$D$6/1200),2))</f>
        <v/>
      </c>
      <c r="G144" s="33">
        <f>IF(F144&lt;=0,0,MIN('Your debts'!$E$6,F144))</f>
        <v/>
      </c>
      <c r="H144" s="33">
        <f>F144-G144</f>
        <v/>
      </c>
      <c r="I144" s="33">
        <f>IF('Your debts'!$F$6="",0,MIN(H144,MAX(0,MAX(0,'Your debts'!$C$19-(G144+L144+Q144+V144+AA144+AF144+AK144+AP144+AU144+AZ144))-(IF(AND('Your debts'!$F$7&lt;&gt;"",'Your debts'!$F$6&lt;&gt;"",'Your debts'!$F$7&lt;'Your debts'!$F$6),M144,0)+IF(AND('Your debts'!$F$8&lt;&gt;"",'Your debts'!$F$6&lt;&gt;"",'Your debts'!$F$8&lt;'Your debts'!$F$6),R144,0)+IF(AND('Your debts'!$F$9&lt;&gt;"",'Your debts'!$F$6&lt;&gt;"",'Your debts'!$F$9&lt;'Your debts'!$F$6),W144,0)+IF(AND('Your debts'!$F$10&lt;&gt;"",'Your debts'!$F$6&lt;&gt;"",'Your debts'!$F$10&lt;'Your debts'!$F$6),AB144,0)+IF(AND('Your debts'!$F$11&lt;&gt;"",'Your debts'!$F$6&lt;&gt;"",'Your debts'!$F$11&lt;'Your debts'!$F$6),AG144,0)+IF(AND('Your debts'!$F$12&lt;&gt;"",'Your debts'!$F$6&lt;&gt;"",'Your debts'!$F$12&lt;'Your debts'!$F$6),AL144,0)+IF(AND('Your debts'!$F$13&lt;&gt;"",'Your debts'!$F$6&lt;&gt;"",'Your debts'!$F$13&lt;'Your debts'!$F$6),AQ144,0)+IF(AND('Your debts'!$F$14&lt;&gt;"",'Your debts'!$F$6&lt;&gt;"",'Your debts'!$F$14&lt;'Your debts'!$F$6),AV144,0)+IF(AND('Your debts'!$F$15&lt;&gt;"",'Your debts'!$F$6&lt;&gt;"",'Your debts'!$F$15&lt;'Your debts'!$F$6),BA144,0)))))</f>
        <v/>
      </c>
      <c r="J144" s="33">
        <f>H144-I144</f>
        <v/>
      </c>
      <c r="K144" s="33">
        <f>IF(O143&lt;=0,0,ROUND(O143*(1+'Your debts'!$D$7/1200),2))</f>
        <v/>
      </c>
      <c r="L144" s="33">
        <f>IF(K144&lt;=0,0,MIN('Your debts'!$E$7,K144))</f>
        <v/>
      </c>
      <c r="M144" s="33">
        <f>K144-L144</f>
        <v/>
      </c>
      <c r="N144" s="33">
        <f>IF('Your debts'!$F$7="",0,MIN(M144,MAX(0,MAX(0,'Your debts'!$C$19-(G144+L144+Q144+V144+AA144+AF144+AK144+AP144+AU144+AZ144))-(IF(AND('Your debts'!$F$6&lt;&gt;"",'Your debts'!$F$7&lt;&gt;"",'Your debts'!$F$6&lt;'Your debts'!$F$7),H144,0)+IF(AND('Your debts'!$F$8&lt;&gt;"",'Your debts'!$F$7&lt;&gt;"",'Your debts'!$F$8&lt;'Your debts'!$F$7),R144,0)+IF(AND('Your debts'!$F$9&lt;&gt;"",'Your debts'!$F$7&lt;&gt;"",'Your debts'!$F$9&lt;'Your debts'!$F$7),W144,0)+IF(AND('Your debts'!$F$10&lt;&gt;"",'Your debts'!$F$7&lt;&gt;"",'Your debts'!$F$10&lt;'Your debts'!$F$7),AB144,0)+IF(AND('Your debts'!$F$11&lt;&gt;"",'Your debts'!$F$7&lt;&gt;"",'Your debts'!$F$11&lt;'Your debts'!$F$7),AG144,0)+IF(AND('Your debts'!$F$12&lt;&gt;"",'Your debts'!$F$7&lt;&gt;"",'Your debts'!$F$12&lt;'Your debts'!$F$7),AL144,0)+IF(AND('Your debts'!$F$13&lt;&gt;"",'Your debts'!$F$7&lt;&gt;"",'Your debts'!$F$13&lt;'Your debts'!$F$7),AQ144,0)+IF(AND('Your debts'!$F$14&lt;&gt;"",'Your debts'!$F$7&lt;&gt;"",'Your debts'!$F$14&lt;'Your debts'!$F$7),AV144,0)+IF(AND('Your debts'!$F$15&lt;&gt;"",'Your debts'!$F$7&lt;&gt;"",'Your debts'!$F$15&lt;'Your debts'!$F$7),BA144,0)))))</f>
        <v/>
      </c>
      <c r="O144" s="33">
        <f>M144-N144</f>
        <v/>
      </c>
      <c r="P144" s="33">
        <f>IF(T143&lt;=0,0,ROUND(T143*(1+'Your debts'!$D$8/1200),2))</f>
        <v/>
      </c>
      <c r="Q144" s="33">
        <f>IF(P144&lt;=0,0,MIN('Your debts'!$E$8,P144))</f>
        <v/>
      </c>
      <c r="R144" s="33">
        <f>P144-Q144</f>
        <v/>
      </c>
      <c r="S144" s="33">
        <f>IF('Your debts'!$F$8="",0,MIN(R144,MAX(0,MAX(0,'Your debts'!$C$19-(G144+L144+Q144+V144+AA144+AF144+AK144+AP144+AU144+AZ144))-(IF(AND('Your debts'!$F$6&lt;&gt;"",'Your debts'!$F$8&lt;&gt;"",'Your debts'!$F$6&lt;'Your debts'!$F$8),H144,0)+IF(AND('Your debts'!$F$7&lt;&gt;"",'Your debts'!$F$8&lt;&gt;"",'Your debts'!$F$7&lt;'Your debts'!$F$8),M144,0)+IF(AND('Your debts'!$F$9&lt;&gt;"",'Your debts'!$F$8&lt;&gt;"",'Your debts'!$F$9&lt;'Your debts'!$F$8),W144,0)+IF(AND('Your debts'!$F$10&lt;&gt;"",'Your debts'!$F$8&lt;&gt;"",'Your debts'!$F$10&lt;'Your debts'!$F$8),AB144,0)+IF(AND('Your debts'!$F$11&lt;&gt;"",'Your debts'!$F$8&lt;&gt;"",'Your debts'!$F$11&lt;'Your debts'!$F$8),AG144,0)+IF(AND('Your debts'!$F$12&lt;&gt;"",'Your debts'!$F$8&lt;&gt;"",'Your debts'!$F$12&lt;'Your debts'!$F$8),AL144,0)+IF(AND('Your debts'!$F$13&lt;&gt;"",'Your debts'!$F$8&lt;&gt;"",'Your debts'!$F$13&lt;'Your debts'!$F$8),AQ144,0)+IF(AND('Your debts'!$F$14&lt;&gt;"",'Your debts'!$F$8&lt;&gt;"",'Your debts'!$F$14&lt;'Your debts'!$F$8),AV144,0)+IF(AND('Your debts'!$F$15&lt;&gt;"",'Your debts'!$F$8&lt;&gt;"",'Your debts'!$F$15&lt;'Your debts'!$F$8),BA144,0)))))</f>
        <v/>
      </c>
      <c r="T144" s="33">
        <f>R144-S144</f>
        <v/>
      </c>
      <c r="U144" s="33">
        <f>IF(Y143&lt;=0,0,ROUND(Y143*(1+'Your debts'!$D$9/1200),2))</f>
        <v/>
      </c>
      <c r="V144" s="33">
        <f>IF(U144&lt;=0,0,MIN('Your debts'!$E$9,U144))</f>
        <v/>
      </c>
      <c r="W144" s="33">
        <f>U144-V144</f>
        <v/>
      </c>
      <c r="X144" s="33">
        <f>IF('Your debts'!$F$9="",0,MIN(W144,MAX(0,MAX(0,'Your debts'!$C$19-(G144+L144+Q144+V144+AA144+AF144+AK144+AP144+AU144+AZ144))-(IF(AND('Your debts'!$F$6&lt;&gt;"",'Your debts'!$F$9&lt;&gt;"",'Your debts'!$F$6&lt;'Your debts'!$F$9),H144,0)+IF(AND('Your debts'!$F$7&lt;&gt;"",'Your debts'!$F$9&lt;&gt;"",'Your debts'!$F$7&lt;'Your debts'!$F$9),M144,0)+IF(AND('Your debts'!$F$8&lt;&gt;"",'Your debts'!$F$9&lt;&gt;"",'Your debts'!$F$8&lt;'Your debts'!$F$9),R144,0)+IF(AND('Your debts'!$F$10&lt;&gt;"",'Your debts'!$F$9&lt;&gt;"",'Your debts'!$F$10&lt;'Your debts'!$F$9),AB144,0)+IF(AND('Your debts'!$F$11&lt;&gt;"",'Your debts'!$F$9&lt;&gt;"",'Your debts'!$F$11&lt;'Your debts'!$F$9),AG144,0)+IF(AND('Your debts'!$F$12&lt;&gt;"",'Your debts'!$F$9&lt;&gt;"",'Your debts'!$F$12&lt;'Your debts'!$F$9),AL144,0)+IF(AND('Your debts'!$F$13&lt;&gt;"",'Your debts'!$F$9&lt;&gt;"",'Your debts'!$F$13&lt;'Your debts'!$F$9),AQ144,0)+IF(AND('Your debts'!$F$14&lt;&gt;"",'Your debts'!$F$9&lt;&gt;"",'Your debts'!$F$14&lt;'Your debts'!$F$9),AV144,0)+IF(AND('Your debts'!$F$15&lt;&gt;"",'Your debts'!$F$9&lt;&gt;"",'Your debts'!$F$15&lt;'Your debts'!$F$9),BA144,0)))))</f>
        <v/>
      </c>
      <c r="Y144" s="33">
        <f>W144-X144</f>
        <v/>
      </c>
      <c r="Z144" s="33">
        <f>IF(AD143&lt;=0,0,ROUND(AD143*(1+'Your debts'!$D$10/1200),2))</f>
        <v/>
      </c>
      <c r="AA144" s="33">
        <f>IF(Z144&lt;=0,0,MIN('Your debts'!$E$10,Z144))</f>
        <v/>
      </c>
      <c r="AB144" s="33">
        <f>Z144-AA144</f>
        <v/>
      </c>
      <c r="AC144" s="33">
        <f>IF('Your debts'!$F$10="",0,MIN(AB144,MAX(0,MAX(0,'Your debts'!$C$19-(G144+L144+Q144+V144+AA144+AF144+AK144+AP144+AU144+AZ144))-(IF(AND('Your debts'!$F$6&lt;&gt;"",'Your debts'!$F$10&lt;&gt;"",'Your debts'!$F$6&lt;'Your debts'!$F$10),H144,0)+IF(AND('Your debts'!$F$7&lt;&gt;"",'Your debts'!$F$10&lt;&gt;"",'Your debts'!$F$7&lt;'Your debts'!$F$10),M144,0)+IF(AND('Your debts'!$F$8&lt;&gt;"",'Your debts'!$F$10&lt;&gt;"",'Your debts'!$F$8&lt;'Your debts'!$F$10),R144,0)+IF(AND('Your debts'!$F$9&lt;&gt;"",'Your debts'!$F$10&lt;&gt;"",'Your debts'!$F$9&lt;'Your debts'!$F$10),W144,0)+IF(AND('Your debts'!$F$11&lt;&gt;"",'Your debts'!$F$10&lt;&gt;"",'Your debts'!$F$11&lt;'Your debts'!$F$10),AG144,0)+IF(AND('Your debts'!$F$12&lt;&gt;"",'Your debts'!$F$10&lt;&gt;"",'Your debts'!$F$12&lt;'Your debts'!$F$10),AL144,0)+IF(AND('Your debts'!$F$13&lt;&gt;"",'Your debts'!$F$10&lt;&gt;"",'Your debts'!$F$13&lt;'Your debts'!$F$10),AQ144,0)+IF(AND('Your debts'!$F$14&lt;&gt;"",'Your debts'!$F$10&lt;&gt;"",'Your debts'!$F$14&lt;'Your debts'!$F$10),AV144,0)+IF(AND('Your debts'!$F$15&lt;&gt;"",'Your debts'!$F$10&lt;&gt;"",'Your debts'!$F$15&lt;'Your debts'!$F$10),BA144,0)))))</f>
        <v/>
      </c>
      <c r="AD144" s="33">
        <f>AB144-AC144</f>
        <v/>
      </c>
      <c r="AE144" s="33">
        <f>IF(AI143&lt;=0,0,ROUND(AI143*(1+'Your debts'!$D$11/1200),2))</f>
        <v/>
      </c>
      <c r="AF144" s="33">
        <f>IF(AE144&lt;=0,0,MIN('Your debts'!$E$11,AE144))</f>
        <v/>
      </c>
      <c r="AG144" s="33">
        <f>AE144-AF144</f>
        <v/>
      </c>
      <c r="AH144" s="33">
        <f>IF('Your debts'!$F$11="",0,MIN(AG144,MAX(0,MAX(0,'Your debts'!$C$19-(G144+L144+Q144+V144+AA144+AF144+AK144+AP144+AU144+AZ144))-(IF(AND('Your debts'!$F$6&lt;&gt;"",'Your debts'!$F$11&lt;&gt;"",'Your debts'!$F$6&lt;'Your debts'!$F$11),H144,0)+IF(AND('Your debts'!$F$7&lt;&gt;"",'Your debts'!$F$11&lt;&gt;"",'Your debts'!$F$7&lt;'Your debts'!$F$11),M144,0)+IF(AND('Your debts'!$F$8&lt;&gt;"",'Your debts'!$F$11&lt;&gt;"",'Your debts'!$F$8&lt;'Your debts'!$F$11),R144,0)+IF(AND('Your debts'!$F$9&lt;&gt;"",'Your debts'!$F$11&lt;&gt;"",'Your debts'!$F$9&lt;'Your debts'!$F$11),W144,0)+IF(AND('Your debts'!$F$10&lt;&gt;"",'Your debts'!$F$11&lt;&gt;"",'Your debts'!$F$10&lt;'Your debts'!$F$11),AB144,0)+IF(AND('Your debts'!$F$12&lt;&gt;"",'Your debts'!$F$11&lt;&gt;"",'Your debts'!$F$12&lt;'Your debts'!$F$11),AL144,0)+IF(AND('Your debts'!$F$13&lt;&gt;"",'Your debts'!$F$11&lt;&gt;"",'Your debts'!$F$13&lt;'Your debts'!$F$11),AQ144,0)+IF(AND('Your debts'!$F$14&lt;&gt;"",'Your debts'!$F$11&lt;&gt;"",'Your debts'!$F$14&lt;'Your debts'!$F$11),AV144,0)+IF(AND('Your debts'!$F$15&lt;&gt;"",'Your debts'!$F$11&lt;&gt;"",'Your debts'!$F$15&lt;'Your debts'!$F$11),BA144,0)))))</f>
        <v/>
      </c>
      <c r="AI144" s="33">
        <f>AG144-AH144</f>
        <v/>
      </c>
      <c r="AJ144" s="33">
        <f>IF(AN143&lt;=0,0,ROUND(AN143*(1+'Your debts'!$D$12/1200),2))</f>
        <v/>
      </c>
      <c r="AK144" s="33">
        <f>IF(AJ144&lt;=0,0,MIN('Your debts'!$E$12,AJ144))</f>
        <v/>
      </c>
      <c r="AL144" s="33">
        <f>AJ144-AK144</f>
        <v/>
      </c>
      <c r="AM144" s="33">
        <f>IF('Your debts'!$F$12="",0,MIN(AL144,MAX(0,MAX(0,'Your debts'!$C$19-(G144+L144+Q144+V144+AA144+AF144+AK144+AP144+AU144+AZ144))-(IF(AND('Your debts'!$F$6&lt;&gt;"",'Your debts'!$F$12&lt;&gt;"",'Your debts'!$F$6&lt;'Your debts'!$F$12),H144,0)+IF(AND('Your debts'!$F$7&lt;&gt;"",'Your debts'!$F$12&lt;&gt;"",'Your debts'!$F$7&lt;'Your debts'!$F$12),M144,0)+IF(AND('Your debts'!$F$8&lt;&gt;"",'Your debts'!$F$12&lt;&gt;"",'Your debts'!$F$8&lt;'Your debts'!$F$12),R144,0)+IF(AND('Your debts'!$F$9&lt;&gt;"",'Your debts'!$F$12&lt;&gt;"",'Your debts'!$F$9&lt;'Your debts'!$F$12),W144,0)+IF(AND('Your debts'!$F$10&lt;&gt;"",'Your debts'!$F$12&lt;&gt;"",'Your debts'!$F$10&lt;'Your debts'!$F$12),AB144,0)+IF(AND('Your debts'!$F$11&lt;&gt;"",'Your debts'!$F$12&lt;&gt;"",'Your debts'!$F$11&lt;'Your debts'!$F$12),AG144,0)+IF(AND('Your debts'!$F$13&lt;&gt;"",'Your debts'!$F$12&lt;&gt;"",'Your debts'!$F$13&lt;'Your debts'!$F$12),AQ144,0)+IF(AND('Your debts'!$F$14&lt;&gt;"",'Your debts'!$F$12&lt;&gt;"",'Your debts'!$F$14&lt;'Your debts'!$F$12),AV144,0)+IF(AND('Your debts'!$F$15&lt;&gt;"",'Your debts'!$F$12&lt;&gt;"",'Your debts'!$F$15&lt;'Your debts'!$F$12),BA144,0)))))</f>
        <v/>
      </c>
      <c r="AN144" s="33">
        <f>AL144-AM144</f>
        <v/>
      </c>
      <c r="AO144" s="33">
        <f>IF(AS143&lt;=0,0,ROUND(AS143*(1+'Your debts'!$D$13/1200),2))</f>
        <v/>
      </c>
      <c r="AP144" s="33">
        <f>IF(AO144&lt;=0,0,MIN('Your debts'!$E$13,AO144))</f>
        <v/>
      </c>
      <c r="AQ144" s="33">
        <f>AO144-AP144</f>
        <v/>
      </c>
      <c r="AR144" s="33">
        <f>IF('Your debts'!$F$13="",0,MIN(AQ144,MAX(0,MAX(0,'Your debts'!$C$19-(G144+L144+Q144+V144+AA144+AF144+AK144+AP144+AU144+AZ144))-(IF(AND('Your debts'!$F$6&lt;&gt;"",'Your debts'!$F$13&lt;&gt;"",'Your debts'!$F$6&lt;'Your debts'!$F$13),H144,0)+IF(AND('Your debts'!$F$7&lt;&gt;"",'Your debts'!$F$13&lt;&gt;"",'Your debts'!$F$7&lt;'Your debts'!$F$13),M144,0)+IF(AND('Your debts'!$F$8&lt;&gt;"",'Your debts'!$F$13&lt;&gt;"",'Your debts'!$F$8&lt;'Your debts'!$F$13),R144,0)+IF(AND('Your debts'!$F$9&lt;&gt;"",'Your debts'!$F$13&lt;&gt;"",'Your debts'!$F$9&lt;'Your debts'!$F$13),W144,0)+IF(AND('Your debts'!$F$10&lt;&gt;"",'Your debts'!$F$13&lt;&gt;"",'Your debts'!$F$10&lt;'Your debts'!$F$13),AB144,0)+IF(AND('Your debts'!$F$11&lt;&gt;"",'Your debts'!$F$13&lt;&gt;"",'Your debts'!$F$11&lt;'Your debts'!$F$13),AG144,0)+IF(AND('Your debts'!$F$12&lt;&gt;"",'Your debts'!$F$13&lt;&gt;"",'Your debts'!$F$12&lt;'Your debts'!$F$13),AL144,0)+IF(AND('Your debts'!$F$14&lt;&gt;"",'Your debts'!$F$13&lt;&gt;"",'Your debts'!$F$14&lt;'Your debts'!$F$13),AV144,0)+IF(AND('Your debts'!$F$15&lt;&gt;"",'Your debts'!$F$13&lt;&gt;"",'Your debts'!$F$15&lt;'Your debts'!$F$13),BA144,0)))))</f>
        <v/>
      </c>
      <c r="AS144" s="33">
        <f>AQ144-AR144</f>
        <v/>
      </c>
      <c r="AT144" s="33">
        <f>IF(AX143&lt;=0,0,ROUND(AX143*(1+'Your debts'!$D$14/1200),2))</f>
        <v/>
      </c>
      <c r="AU144" s="33">
        <f>IF(AT144&lt;=0,0,MIN('Your debts'!$E$14,AT144))</f>
        <v/>
      </c>
      <c r="AV144" s="33">
        <f>AT144-AU144</f>
        <v/>
      </c>
      <c r="AW144" s="33">
        <f>IF('Your debts'!$F$14="",0,MIN(AV144,MAX(0,MAX(0,'Your debts'!$C$19-(G144+L144+Q144+V144+AA144+AF144+AK144+AP144+AU144+AZ144))-(IF(AND('Your debts'!$F$6&lt;&gt;"",'Your debts'!$F$14&lt;&gt;"",'Your debts'!$F$6&lt;'Your debts'!$F$14),H144,0)+IF(AND('Your debts'!$F$7&lt;&gt;"",'Your debts'!$F$14&lt;&gt;"",'Your debts'!$F$7&lt;'Your debts'!$F$14),M144,0)+IF(AND('Your debts'!$F$8&lt;&gt;"",'Your debts'!$F$14&lt;&gt;"",'Your debts'!$F$8&lt;'Your debts'!$F$14),R144,0)+IF(AND('Your debts'!$F$9&lt;&gt;"",'Your debts'!$F$14&lt;&gt;"",'Your debts'!$F$9&lt;'Your debts'!$F$14),W144,0)+IF(AND('Your debts'!$F$10&lt;&gt;"",'Your debts'!$F$14&lt;&gt;"",'Your debts'!$F$10&lt;'Your debts'!$F$14),AB144,0)+IF(AND('Your debts'!$F$11&lt;&gt;"",'Your debts'!$F$14&lt;&gt;"",'Your debts'!$F$11&lt;'Your debts'!$F$14),AG144,0)+IF(AND('Your debts'!$F$12&lt;&gt;"",'Your debts'!$F$14&lt;&gt;"",'Your debts'!$F$12&lt;'Your debts'!$F$14),AL144,0)+IF(AND('Your debts'!$F$13&lt;&gt;"",'Your debts'!$F$14&lt;&gt;"",'Your debts'!$F$13&lt;'Your debts'!$F$14),AQ144,0)+IF(AND('Your debts'!$F$15&lt;&gt;"",'Your debts'!$F$14&lt;&gt;"",'Your debts'!$F$15&lt;'Your debts'!$F$14),BA144,0)))))</f>
        <v/>
      </c>
      <c r="AX144" s="33">
        <f>AV144-AW144</f>
        <v/>
      </c>
      <c r="AY144" s="33">
        <f>IF(BC143&lt;=0,0,ROUND(BC143*(1+'Your debts'!$D$15/1200),2))</f>
        <v/>
      </c>
      <c r="AZ144" s="33">
        <f>IF(AY144&lt;=0,0,MIN('Your debts'!$E$15,AY144))</f>
        <v/>
      </c>
      <c r="BA144" s="33">
        <f>AY144-AZ144</f>
        <v/>
      </c>
      <c r="BB144" s="33">
        <f>IF('Your debts'!$F$15="",0,MIN(BA144,MAX(0,MAX(0,'Your debts'!$C$19-(G144+L144+Q144+V144+AA144+AF144+AK144+AP144+AU144+AZ144))-(IF(AND('Your debts'!$F$6&lt;&gt;"",'Your debts'!$F$15&lt;&gt;"",'Your debts'!$F$6&lt;'Your debts'!$F$15),H144,0)+IF(AND('Your debts'!$F$7&lt;&gt;"",'Your debts'!$F$15&lt;&gt;"",'Your debts'!$F$7&lt;'Your debts'!$F$15),M144,0)+IF(AND('Your debts'!$F$8&lt;&gt;"",'Your debts'!$F$15&lt;&gt;"",'Your debts'!$F$8&lt;'Your debts'!$F$15),R144,0)+IF(AND('Your debts'!$F$9&lt;&gt;"",'Your debts'!$F$15&lt;&gt;"",'Your debts'!$F$9&lt;'Your debts'!$F$15),W144,0)+IF(AND('Your debts'!$F$10&lt;&gt;"",'Your debts'!$F$15&lt;&gt;"",'Your debts'!$F$10&lt;'Your debts'!$F$15),AB144,0)+IF(AND('Your debts'!$F$11&lt;&gt;"",'Your debts'!$F$15&lt;&gt;"",'Your debts'!$F$11&lt;'Your debts'!$F$15),AG144,0)+IF(AND('Your debts'!$F$12&lt;&gt;"",'Your debts'!$F$15&lt;&gt;"",'Your debts'!$F$12&lt;'Your debts'!$F$15),AL144,0)+IF(AND('Your debts'!$F$13&lt;&gt;"",'Your debts'!$F$15&lt;&gt;"",'Your debts'!$F$13&lt;'Your debts'!$F$15),AQ144,0)+IF(AND('Your debts'!$F$14&lt;&gt;"",'Your debts'!$F$15&lt;&gt;"",'Your debts'!$F$14&lt;'Your debts'!$F$15),AV144,0)))))</f>
        <v/>
      </c>
      <c r="BC144" s="33">
        <f>BA144-BB144</f>
        <v/>
      </c>
    </row>
    <row r="145">
      <c r="A145" s="30" t="n">
        <v>130</v>
      </c>
      <c r="B145" s="31">
        <f>EDATE($B$15,130)</f>
        <v/>
      </c>
      <c r="C145" s="32">
        <f>IF(J144&lt;=0,0,F145-J144)+IF(O144&lt;=0,0,K145-O144)+IF(T144&lt;=0,0,P145-T144)+IF(Y144&lt;=0,0,U145-Y144)+IF(AD144&lt;=0,0,Z145-AD144)+IF(AI144&lt;=0,0,AE145-AI144)+IF(AN144&lt;=0,0,AJ145-AN144)+IF(AS144&lt;=0,0,AO145-AS144)+IF(AX144&lt;=0,0,AT145-AX144)+IF(BC144&lt;=0,0,AY145-BC144)</f>
        <v/>
      </c>
      <c r="D145" s="32">
        <f>G145+I145+L145+N145+Q145+S145+V145+X145+AA145+AC145+AF145+AH145+AK145+AM145+AP145+AR145+AU145+AW145+AZ145+BB145</f>
        <v/>
      </c>
      <c r="E145" s="32">
        <f>J145+O145+T145+Y145+AD145+AI145+AN145+AS145+AX145+BC145</f>
        <v/>
      </c>
      <c r="F145" s="33">
        <f>IF(J144&lt;=0,0,ROUND(J144*(1+'Your debts'!$D$6/1200),2))</f>
        <v/>
      </c>
      <c r="G145" s="33">
        <f>IF(F145&lt;=0,0,MIN('Your debts'!$E$6,F145))</f>
        <v/>
      </c>
      <c r="H145" s="33">
        <f>F145-G145</f>
        <v/>
      </c>
      <c r="I145" s="33">
        <f>IF('Your debts'!$F$6="",0,MIN(H145,MAX(0,MAX(0,'Your debts'!$C$19-(G145+L145+Q145+V145+AA145+AF145+AK145+AP145+AU145+AZ145))-(IF(AND('Your debts'!$F$7&lt;&gt;"",'Your debts'!$F$6&lt;&gt;"",'Your debts'!$F$7&lt;'Your debts'!$F$6),M145,0)+IF(AND('Your debts'!$F$8&lt;&gt;"",'Your debts'!$F$6&lt;&gt;"",'Your debts'!$F$8&lt;'Your debts'!$F$6),R145,0)+IF(AND('Your debts'!$F$9&lt;&gt;"",'Your debts'!$F$6&lt;&gt;"",'Your debts'!$F$9&lt;'Your debts'!$F$6),W145,0)+IF(AND('Your debts'!$F$10&lt;&gt;"",'Your debts'!$F$6&lt;&gt;"",'Your debts'!$F$10&lt;'Your debts'!$F$6),AB145,0)+IF(AND('Your debts'!$F$11&lt;&gt;"",'Your debts'!$F$6&lt;&gt;"",'Your debts'!$F$11&lt;'Your debts'!$F$6),AG145,0)+IF(AND('Your debts'!$F$12&lt;&gt;"",'Your debts'!$F$6&lt;&gt;"",'Your debts'!$F$12&lt;'Your debts'!$F$6),AL145,0)+IF(AND('Your debts'!$F$13&lt;&gt;"",'Your debts'!$F$6&lt;&gt;"",'Your debts'!$F$13&lt;'Your debts'!$F$6),AQ145,0)+IF(AND('Your debts'!$F$14&lt;&gt;"",'Your debts'!$F$6&lt;&gt;"",'Your debts'!$F$14&lt;'Your debts'!$F$6),AV145,0)+IF(AND('Your debts'!$F$15&lt;&gt;"",'Your debts'!$F$6&lt;&gt;"",'Your debts'!$F$15&lt;'Your debts'!$F$6),BA145,0)))))</f>
        <v/>
      </c>
      <c r="J145" s="33">
        <f>H145-I145</f>
        <v/>
      </c>
      <c r="K145" s="33">
        <f>IF(O144&lt;=0,0,ROUND(O144*(1+'Your debts'!$D$7/1200),2))</f>
        <v/>
      </c>
      <c r="L145" s="33">
        <f>IF(K145&lt;=0,0,MIN('Your debts'!$E$7,K145))</f>
        <v/>
      </c>
      <c r="M145" s="33">
        <f>K145-L145</f>
        <v/>
      </c>
      <c r="N145" s="33">
        <f>IF('Your debts'!$F$7="",0,MIN(M145,MAX(0,MAX(0,'Your debts'!$C$19-(G145+L145+Q145+V145+AA145+AF145+AK145+AP145+AU145+AZ145))-(IF(AND('Your debts'!$F$6&lt;&gt;"",'Your debts'!$F$7&lt;&gt;"",'Your debts'!$F$6&lt;'Your debts'!$F$7),H145,0)+IF(AND('Your debts'!$F$8&lt;&gt;"",'Your debts'!$F$7&lt;&gt;"",'Your debts'!$F$8&lt;'Your debts'!$F$7),R145,0)+IF(AND('Your debts'!$F$9&lt;&gt;"",'Your debts'!$F$7&lt;&gt;"",'Your debts'!$F$9&lt;'Your debts'!$F$7),W145,0)+IF(AND('Your debts'!$F$10&lt;&gt;"",'Your debts'!$F$7&lt;&gt;"",'Your debts'!$F$10&lt;'Your debts'!$F$7),AB145,0)+IF(AND('Your debts'!$F$11&lt;&gt;"",'Your debts'!$F$7&lt;&gt;"",'Your debts'!$F$11&lt;'Your debts'!$F$7),AG145,0)+IF(AND('Your debts'!$F$12&lt;&gt;"",'Your debts'!$F$7&lt;&gt;"",'Your debts'!$F$12&lt;'Your debts'!$F$7),AL145,0)+IF(AND('Your debts'!$F$13&lt;&gt;"",'Your debts'!$F$7&lt;&gt;"",'Your debts'!$F$13&lt;'Your debts'!$F$7),AQ145,0)+IF(AND('Your debts'!$F$14&lt;&gt;"",'Your debts'!$F$7&lt;&gt;"",'Your debts'!$F$14&lt;'Your debts'!$F$7),AV145,0)+IF(AND('Your debts'!$F$15&lt;&gt;"",'Your debts'!$F$7&lt;&gt;"",'Your debts'!$F$15&lt;'Your debts'!$F$7),BA145,0)))))</f>
        <v/>
      </c>
      <c r="O145" s="33">
        <f>M145-N145</f>
        <v/>
      </c>
      <c r="P145" s="33">
        <f>IF(T144&lt;=0,0,ROUND(T144*(1+'Your debts'!$D$8/1200),2))</f>
        <v/>
      </c>
      <c r="Q145" s="33">
        <f>IF(P145&lt;=0,0,MIN('Your debts'!$E$8,P145))</f>
        <v/>
      </c>
      <c r="R145" s="33">
        <f>P145-Q145</f>
        <v/>
      </c>
      <c r="S145" s="33">
        <f>IF('Your debts'!$F$8="",0,MIN(R145,MAX(0,MAX(0,'Your debts'!$C$19-(G145+L145+Q145+V145+AA145+AF145+AK145+AP145+AU145+AZ145))-(IF(AND('Your debts'!$F$6&lt;&gt;"",'Your debts'!$F$8&lt;&gt;"",'Your debts'!$F$6&lt;'Your debts'!$F$8),H145,0)+IF(AND('Your debts'!$F$7&lt;&gt;"",'Your debts'!$F$8&lt;&gt;"",'Your debts'!$F$7&lt;'Your debts'!$F$8),M145,0)+IF(AND('Your debts'!$F$9&lt;&gt;"",'Your debts'!$F$8&lt;&gt;"",'Your debts'!$F$9&lt;'Your debts'!$F$8),W145,0)+IF(AND('Your debts'!$F$10&lt;&gt;"",'Your debts'!$F$8&lt;&gt;"",'Your debts'!$F$10&lt;'Your debts'!$F$8),AB145,0)+IF(AND('Your debts'!$F$11&lt;&gt;"",'Your debts'!$F$8&lt;&gt;"",'Your debts'!$F$11&lt;'Your debts'!$F$8),AG145,0)+IF(AND('Your debts'!$F$12&lt;&gt;"",'Your debts'!$F$8&lt;&gt;"",'Your debts'!$F$12&lt;'Your debts'!$F$8),AL145,0)+IF(AND('Your debts'!$F$13&lt;&gt;"",'Your debts'!$F$8&lt;&gt;"",'Your debts'!$F$13&lt;'Your debts'!$F$8),AQ145,0)+IF(AND('Your debts'!$F$14&lt;&gt;"",'Your debts'!$F$8&lt;&gt;"",'Your debts'!$F$14&lt;'Your debts'!$F$8),AV145,0)+IF(AND('Your debts'!$F$15&lt;&gt;"",'Your debts'!$F$8&lt;&gt;"",'Your debts'!$F$15&lt;'Your debts'!$F$8),BA145,0)))))</f>
        <v/>
      </c>
      <c r="T145" s="33">
        <f>R145-S145</f>
        <v/>
      </c>
      <c r="U145" s="33">
        <f>IF(Y144&lt;=0,0,ROUND(Y144*(1+'Your debts'!$D$9/1200),2))</f>
        <v/>
      </c>
      <c r="V145" s="33">
        <f>IF(U145&lt;=0,0,MIN('Your debts'!$E$9,U145))</f>
        <v/>
      </c>
      <c r="W145" s="33">
        <f>U145-V145</f>
        <v/>
      </c>
      <c r="X145" s="33">
        <f>IF('Your debts'!$F$9="",0,MIN(W145,MAX(0,MAX(0,'Your debts'!$C$19-(G145+L145+Q145+V145+AA145+AF145+AK145+AP145+AU145+AZ145))-(IF(AND('Your debts'!$F$6&lt;&gt;"",'Your debts'!$F$9&lt;&gt;"",'Your debts'!$F$6&lt;'Your debts'!$F$9),H145,0)+IF(AND('Your debts'!$F$7&lt;&gt;"",'Your debts'!$F$9&lt;&gt;"",'Your debts'!$F$7&lt;'Your debts'!$F$9),M145,0)+IF(AND('Your debts'!$F$8&lt;&gt;"",'Your debts'!$F$9&lt;&gt;"",'Your debts'!$F$8&lt;'Your debts'!$F$9),R145,0)+IF(AND('Your debts'!$F$10&lt;&gt;"",'Your debts'!$F$9&lt;&gt;"",'Your debts'!$F$10&lt;'Your debts'!$F$9),AB145,0)+IF(AND('Your debts'!$F$11&lt;&gt;"",'Your debts'!$F$9&lt;&gt;"",'Your debts'!$F$11&lt;'Your debts'!$F$9),AG145,0)+IF(AND('Your debts'!$F$12&lt;&gt;"",'Your debts'!$F$9&lt;&gt;"",'Your debts'!$F$12&lt;'Your debts'!$F$9),AL145,0)+IF(AND('Your debts'!$F$13&lt;&gt;"",'Your debts'!$F$9&lt;&gt;"",'Your debts'!$F$13&lt;'Your debts'!$F$9),AQ145,0)+IF(AND('Your debts'!$F$14&lt;&gt;"",'Your debts'!$F$9&lt;&gt;"",'Your debts'!$F$14&lt;'Your debts'!$F$9),AV145,0)+IF(AND('Your debts'!$F$15&lt;&gt;"",'Your debts'!$F$9&lt;&gt;"",'Your debts'!$F$15&lt;'Your debts'!$F$9),BA145,0)))))</f>
        <v/>
      </c>
      <c r="Y145" s="33">
        <f>W145-X145</f>
        <v/>
      </c>
      <c r="Z145" s="33">
        <f>IF(AD144&lt;=0,0,ROUND(AD144*(1+'Your debts'!$D$10/1200),2))</f>
        <v/>
      </c>
      <c r="AA145" s="33">
        <f>IF(Z145&lt;=0,0,MIN('Your debts'!$E$10,Z145))</f>
        <v/>
      </c>
      <c r="AB145" s="33">
        <f>Z145-AA145</f>
        <v/>
      </c>
      <c r="AC145" s="33">
        <f>IF('Your debts'!$F$10="",0,MIN(AB145,MAX(0,MAX(0,'Your debts'!$C$19-(G145+L145+Q145+V145+AA145+AF145+AK145+AP145+AU145+AZ145))-(IF(AND('Your debts'!$F$6&lt;&gt;"",'Your debts'!$F$10&lt;&gt;"",'Your debts'!$F$6&lt;'Your debts'!$F$10),H145,0)+IF(AND('Your debts'!$F$7&lt;&gt;"",'Your debts'!$F$10&lt;&gt;"",'Your debts'!$F$7&lt;'Your debts'!$F$10),M145,0)+IF(AND('Your debts'!$F$8&lt;&gt;"",'Your debts'!$F$10&lt;&gt;"",'Your debts'!$F$8&lt;'Your debts'!$F$10),R145,0)+IF(AND('Your debts'!$F$9&lt;&gt;"",'Your debts'!$F$10&lt;&gt;"",'Your debts'!$F$9&lt;'Your debts'!$F$10),W145,0)+IF(AND('Your debts'!$F$11&lt;&gt;"",'Your debts'!$F$10&lt;&gt;"",'Your debts'!$F$11&lt;'Your debts'!$F$10),AG145,0)+IF(AND('Your debts'!$F$12&lt;&gt;"",'Your debts'!$F$10&lt;&gt;"",'Your debts'!$F$12&lt;'Your debts'!$F$10),AL145,0)+IF(AND('Your debts'!$F$13&lt;&gt;"",'Your debts'!$F$10&lt;&gt;"",'Your debts'!$F$13&lt;'Your debts'!$F$10),AQ145,0)+IF(AND('Your debts'!$F$14&lt;&gt;"",'Your debts'!$F$10&lt;&gt;"",'Your debts'!$F$14&lt;'Your debts'!$F$10),AV145,0)+IF(AND('Your debts'!$F$15&lt;&gt;"",'Your debts'!$F$10&lt;&gt;"",'Your debts'!$F$15&lt;'Your debts'!$F$10),BA145,0)))))</f>
        <v/>
      </c>
      <c r="AD145" s="33">
        <f>AB145-AC145</f>
        <v/>
      </c>
      <c r="AE145" s="33">
        <f>IF(AI144&lt;=0,0,ROUND(AI144*(1+'Your debts'!$D$11/1200),2))</f>
        <v/>
      </c>
      <c r="AF145" s="33">
        <f>IF(AE145&lt;=0,0,MIN('Your debts'!$E$11,AE145))</f>
        <v/>
      </c>
      <c r="AG145" s="33">
        <f>AE145-AF145</f>
        <v/>
      </c>
      <c r="AH145" s="33">
        <f>IF('Your debts'!$F$11="",0,MIN(AG145,MAX(0,MAX(0,'Your debts'!$C$19-(G145+L145+Q145+V145+AA145+AF145+AK145+AP145+AU145+AZ145))-(IF(AND('Your debts'!$F$6&lt;&gt;"",'Your debts'!$F$11&lt;&gt;"",'Your debts'!$F$6&lt;'Your debts'!$F$11),H145,0)+IF(AND('Your debts'!$F$7&lt;&gt;"",'Your debts'!$F$11&lt;&gt;"",'Your debts'!$F$7&lt;'Your debts'!$F$11),M145,0)+IF(AND('Your debts'!$F$8&lt;&gt;"",'Your debts'!$F$11&lt;&gt;"",'Your debts'!$F$8&lt;'Your debts'!$F$11),R145,0)+IF(AND('Your debts'!$F$9&lt;&gt;"",'Your debts'!$F$11&lt;&gt;"",'Your debts'!$F$9&lt;'Your debts'!$F$11),W145,0)+IF(AND('Your debts'!$F$10&lt;&gt;"",'Your debts'!$F$11&lt;&gt;"",'Your debts'!$F$10&lt;'Your debts'!$F$11),AB145,0)+IF(AND('Your debts'!$F$12&lt;&gt;"",'Your debts'!$F$11&lt;&gt;"",'Your debts'!$F$12&lt;'Your debts'!$F$11),AL145,0)+IF(AND('Your debts'!$F$13&lt;&gt;"",'Your debts'!$F$11&lt;&gt;"",'Your debts'!$F$13&lt;'Your debts'!$F$11),AQ145,0)+IF(AND('Your debts'!$F$14&lt;&gt;"",'Your debts'!$F$11&lt;&gt;"",'Your debts'!$F$14&lt;'Your debts'!$F$11),AV145,0)+IF(AND('Your debts'!$F$15&lt;&gt;"",'Your debts'!$F$11&lt;&gt;"",'Your debts'!$F$15&lt;'Your debts'!$F$11),BA145,0)))))</f>
        <v/>
      </c>
      <c r="AI145" s="33">
        <f>AG145-AH145</f>
        <v/>
      </c>
      <c r="AJ145" s="33">
        <f>IF(AN144&lt;=0,0,ROUND(AN144*(1+'Your debts'!$D$12/1200),2))</f>
        <v/>
      </c>
      <c r="AK145" s="33">
        <f>IF(AJ145&lt;=0,0,MIN('Your debts'!$E$12,AJ145))</f>
        <v/>
      </c>
      <c r="AL145" s="33">
        <f>AJ145-AK145</f>
        <v/>
      </c>
      <c r="AM145" s="33">
        <f>IF('Your debts'!$F$12="",0,MIN(AL145,MAX(0,MAX(0,'Your debts'!$C$19-(G145+L145+Q145+V145+AA145+AF145+AK145+AP145+AU145+AZ145))-(IF(AND('Your debts'!$F$6&lt;&gt;"",'Your debts'!$F$12&lt;&gt;"",'Your debts'!$F$6&lt;'Your debts'!$F$12),H145,0)+IF(AND('Your debts'!$F$7&lt;&gt;"",'Your debts'!$F$12&lt;&gt;"",'Your debts'!$F$7&lt;'Your debts'!$F$12),M145,0)+IF(AND('Your debts'!$F$8&lt;&gt;"",'Your debts'!$F$12&lt;&gt;"",'Your debts'!$F$8&lt;'Your debts'!$F$12),R145,0)+IF(AND('Your debts'!$F$9&lt;&gt;"",'Your debts'!$F$12&lt;&gt;"",'Your debts'!$F$9&lt;'Your debts'!$F$12),W145,0)+IF(AND('Your debts'!$F$10&lt;&gt;"",'Your debts'!$F$12&lt;&gt;"",'Your debts'!$F$10&lt;'Your debts'!$F$12),AB145,0)+IF(AND('Your debts'!$F$11&lt;&gt;"",'Your debts'!$F$12&lt;&gt;"",'Your debts'!$F$11&lt;'Your debts'!$F$12),AG145,0)+IF(AND('Your debts'!$F$13&lt;&gt;"",'Your debts'!$F$12&lt;&gt;"",'Your debts'!$F$13&lt;'Your debts'!$F$12),AQ145,0)+IF(AND('Your debts'!$F$14&lt;&gt;"",'Your debts'!$F$12&lt;&gt;"",'Your debts'!$F$14&lt;'Your debts'!$F$12),AV145,0)+IF(AND('Your debts'!$F$15&lt;&gt;"",'Your debts'!$F$12&lt;&gt;"",'Your debts'!$F$15&lt;'Your debts'!$F$12),BA145,0)))))</f>
        <v/>
      </c>
      <c r="AN145" s="33">
        <f>AL145-AM145</f>
        <v/>
      </c>
      <c r="AO145" s="33">
        <f>IF(AS144&lt;=0,0,ROUND(AS144*(1+'Your debts'!$D$13/1200),2))</f>
        <v/>
      </c>
      <c r="AP145" s="33">
        <f>IF(AO145&lt;=0,0,MIN('Your debts'!$E$13,AO145))</f>
        <v/>
      </c>
      <c r="AQ145" s="33">
        <f>AO145-AP145</f>
        <v/>
      </c>
      <c r="AR145" s="33">
        <f>IF('Your debts'!$F$13="",0,MIN(AQ145,MAX(0,MAX(0,'Your debts'!$C$19-(G145+L145+Q145+V145+AA145+AF145+AK145+AP145+AU145+AZ145))-(IF(AND('Your debts'!$F$6&lt;&gt;"",'Your debts'!$F$13&lt;&gt;"",'Your debts'!$F$6&lt;'Your debts'!$F$13),H145,0)+IF(AND('Your debts'!$F$7&lt;&gt;"",'Your debts'!$F$13&lt;&gt;"",'Your debts'!$F$7&lt;'Your debts'!$F$13),M145,0)+IF(AND('Your debts'!$F$8&lt;&gt;"",'Your debts'!$F$13&lt;&gt;"",'Your debts'!$F$8&lt;'Your debts'!$F$13),R145,0)+IF(AND('Your debts'!$F$9&lt;&gt;"",'Your debts'!$F$13&lt;&gt;"",'Your debts'!$F$9&lt;'Your debts'!$F$13),W145,0)+IF(AND('Your debts'!$F$10&lt;&gt;"",'Your debts'!$F$13&lt;&gt;"",'Your debts'!$F$10&lt;'Your debts'!$F$13),AB145,0)+IF(AND('Your debts'!$F$11&lt;&gt;"",'Your debts'!$F$13&lt;&gt;"",'Your debts'!$F$11&lt;'Your debts'!$F$13),AG145,0)+IF(AND('Your debts'!$F$12&lt;&gt;"",'Your debts'!$F$13&lt;&gt;"",'Your debts'!$F$12&lt;'Your debts'!$F$13),AL145,0)+IF(AND('Your debts'!$F$14&lt;&gt;"",'Your debts'!$F$13&lt;&gt;"",'Your debts'!$F$14&lt;'Your debts'!$F$13),AV145,0)+IF(AND('Your debts'!$F$15&lt;&gt;"",'Your debts'!$F$13&lt;&gt;"",'Your debts'!$F$15&lt;'Your debts'!$F$13),BA145,0)))))</f>
        <v/>
      </c>
      <c r="AS145" s="33">
        <f>AQ145-AR145</f>
        <v/>
      </c>
      <c r="AT145" s="33">
        <f>IF(AX144&lt;=0,0,ROUND(AX144*(1+'Your debts'!$D$14/1200),2))</f>
        <v/>
      </c>
      <c r="AU145" s="33">
        <f>IF(AT145&lt;=0,0,MIN('Your debts'!$E$14,AT145))</f>
        <v/>
      </c>
      <c r="AV145" s="33">
        <f>AT145-AU145</f>
        <v/>
      </c>
      <c r="AW145" s="33">
        <f>IF('Your debts'!$F$14="",0,MIN(AV145,MAX(0,MAX(0,'Your debts'!$C$19-(G145+L145+Q145+V145+AA145+AF145+AK145+AP145+AU145+AZ145))-(IF(AND('Your debts'!$F$6&lt;&gt;"",'Your debts'!$F$14&lt;&gt;"",'Your debts'!$F$6&lt;'Your debts'!$F$14),H145,0)+IF(AND('Your debts'!$F$7&lt;&gt;"",'Your debts'!$F$14&lt;&gt;"",'Your debts'!$F$7&lt;'Your debts'!$F$14),M145,0)+IF(AND('Your debts'!$F$8&lt;&gt;"",'Your debts'!$F$14&lt;&gt;"",'Your debts'!$F$8&lt;'Your debts'!$F$14),R145,0)+IF(AND('Your debts'!$F$9&lt;&gt;"",'Your debts'!$F$14&lt;&gt;"",'Your debts'!$F$9&lt;'Your debts'!$F$14),W145,0)+IF(AND('Your debts'!$F$10&lt;&gt;"",'Your debts'!$F$14&lt;&gt;"",'Your debts'!$F$10&lt;'Your debts'!$F$14),AB145,0)+IF(AND('Your debts'!$F$11&lt;&gt;"",'Your debts'!$F$14&lt;&gt;"",'Your debts'!$F$11&lt;'Your debts'!$F$14),AG145,0)+IF(AND('Your debts'!$F$12&lt;&gt;"",'Your debts'!$F$14&lt;&gt;"",'Your debts'!$F$12&lt;'Your debts'!$F$14),AL145,0)+IF(AND('Your debts'!$F$13&lt;&gt;"",'Your debts'!$F$14&lt;&gt;"",'Your debts'!$F$13&lt;'Your debts'!$F$14),AQ145,0)+IF(AND('Your debts'!$F$15&lt;&gt;"",'Your debts'!$F$14&lt;&gt;"",'Your debts'!$F$15&lt;'Your debts'!$F$14),BA145,0)))))</f>
        <v/>
      </c>
      <c r="AX145" s="33">
        <f>AV145-AW145</f>
        <v/>
      </c>
      <c r="AY145" s="33">
        <f>IF(BC144&lt;=0,0,ROUND(BC144*(1+'Your debts'!$D$15/1200),2))</f>
        <v/>
      </c>
      <c r="AZ145" s="33">
        <f>IF(AY145&lt;=0,0,MIN('Your debts'!$E$15,AY145))</f>
        <v/>
      </c>
      <c r="BA145" s="33">
        <f>AY145-AZ145</f>
        <v/>
      </c>
      <c r="BB145" s="33">
        <f>IF('Your debts'!$F$15="",0,MIN(BA145,MAX(0,MAX(0,'Your debts'!$C$19-(G145+L145+Q145+V145+AA145+AF145+AK145+AP145+AU145+AZ145))-(IF(AND('Your debts'!$F$6&lt;&gt;"",'Your debts'!$F$15&lt;&gt;"",'Your debts'!$F$6&lt;'Your debts'!$F$15),H145,0)+IF(AND('Your debts'!$F$7&lt;&gt;"",'Your debts'!$F$15&lt;&gt;"",'Your debts'!$F$7&lt;'Your debts'!$F$15),M145,0)+IF(AND('Your debts'!$F$8&lt;&gt;"",'Your debts'!$F$15&lt;&gt;"",'Your debts'!$F$8&lt;'Your debts'!$F$15),R145,0)+IF(AND('Your debts'!$F$9&lt;&gt;"",'Your debts'!$F$15&lt;&gt;"",'Your debts'!$F$9&lt;'Your debts'!$F$15),W145,0)+IF(AND('Your debts'!$F$10&lt;&gt;"",'Your debts'!$F$15&lt;&gt;"",'Your debts'!$F$10&lt;'Your debts'!$F$15),AB145,0)+IF(AND('Your debts'!$F$11&lt;&gt;"",'Your debts'!$F$15&lt;&gt;"",'Your debts'!$F$11&lt;'Your debts'!$F$15),AG145,0)+IF(AND('Your debts'!$F$12&lt;&gt;"",'Your debts'!$F$15&lt;&gt;"",'Your debts'!$F$12&lt;'Your debts'!$F$15),AL145,0)+IF(AND('Your debts'!$F$13&lt;&gt;"",'Your debts'!$F$15&lt;&gt;"",'Your debts'!$F$13&lt;'Your debts'!$F$15),AQ145,0)+IF(AND('Your debts'!$F$14&lt;&gt;"",'Your debts'!$F$15&lt;&gt;"",'Your debts'!$F$14&lt;'Your debts'!$F$15),AV145,0)))))</f>
        <v/>
      </c>
      <c r="BC145" s="33">
        <f>BA145-BB145</f>
        <v/>
      </c>
    </row>
    <row r="146">
      <c r="A146" s="30" t="n">
        <v>131</v>
      </c>
      <c r="B146" s="31">
        <f>EDATE($B$15,131)</f>
        <v/>
      </c>
      <c r="C146" s="32">
        <f>IF(J145&lt;=0,0,F146-J145)+IF(O145&lt;=0,0,K146-O145)+IF(T145&lt;=0,0,P146-T145)+IF(Y145&lt;=0,0,U146-Y145)+IF(AD145&lt;=0,0,Z146-AD145)+IF(AI145&lt;=0,0,AE146-AI145)+IF(AN145&lt;=0,0,AJ146-AN145)+IF(AS145&lt;=0,0,AO146-AS145)+IF(AX145&lt;=0,0,AT146-AX145)+IF(BC145&lt;=0,0,AY146-BC145)</f>
        <v/>
      </c>
      <c r="D146" s="32">
        <f>G146+I146+L146+N146+Q146+S146+V146+X146+AA146+AC146+AF146+AH146+AK146+AM146+AP146+AR146+AU146+AW146+AZ146+BB146</f>
        <v/>
      </c>
      <c r="E146" s="32">
        <f>J146+O146+T146+Y146+AD146+AI146+AN146+AS146+AX146+BC146</f>
        <v/>
      </c>
      <c r="F146" s="33">
        <f>IF(J145&lt;=0,0,ROUND(J145*(1+'Your debts'!$D$6/1200),2))</f>
        <v/>
      </c>
      <c r="G146" s="33">
        <f>IF(F146&lt;=0,0,MIN('Your debts'!$E$6,F146))</f>
        <v/>
      </c>
      <c r="H146" s="33">
        <f>F146-G146</f>
        <v/>
      </c>
      <c r="I146" s="33">
        <f>IF('Your debts'!$F$6="",0,MIN(H146,MAX(0,MAX(0,'Your debts'!$C$19-(G146+L146+Q146+V146+AA146+AF146+AK146+AP146+AU146+AZ146))-(IF(AND('Your debts'!$F$7&lt;&gt;"",'Your debts'!$F$6&lt;&gt;"",'Your debts'!$F$7&lt;'Your debts'!$F$6),M146,0)+IF(AND('Your debts'!$F$8&lt;&gt;"",'Your debts'!$F$6&lt;&gt;"",'Your debts'!$F$8&lt;'Your debts'!$F$6),R146,0)+IF(AND('Your debts'!$F$9&lt;&gt;"",'Your debts'!$F$6&lt;&gt;"",'Your debts'!$F$9&lt;'Your debts'!$F$6),W146,0)+IF(AND('Your debts'!$F$10&lt;&gt;"",'Your debts'!$F$6&lt;&gt;"",'Your debts'!$F$10&lt;'Your debts'!$F$6),AB146,0)+IF(AND('Your debts'!$F$11&lt;&gt;"",'Your debts'!$F$6&lt;&gt;"",'Your debts'!$F$11&lt;'Your debts'!$F$6),AG146,0)+IF(AND('Your debts'!$F$12&lt;&gt;"",'Your debts'!$F$6&lt;&gt;"",'Your debts'!$F$12&lt;'Your debts'!$F$6),AL146,0)+IF(AND('Your debts'!$F$13&lt;&gt;"",'Your debts'!$F$6&lt;&gt;"",'Your debts'!$F$13&lt;'Your debts'!$F$6),AQ146,0)+IF(AND('Your debts'!$F$14&lt;&gt;"",'Your debts'!$F$6&lt;&gt;"",'Your debts'!$F$14&lt;'Your debts'!$F$6),AV146,0)+IF(AND('Your debts'!$F$15&lt;&gt;"",'Your debts'!$F$6&lt;&gt;"",'Your debts'!$F$15&lt;'Your debts'!$F$6),BA146,0)))))</f>
        <v/>
      </c>
      <c r="J146" s="33">
        <f>H146-I146</f>
        <v/>
      </c>
      <c r="K146" s="33">
        <f>IF(O145&lt;=0,0,ROUND(O145*(1+'Your debts'!$D$7/1200),2))</f>
        <v/>
      </c>
      <c r="L146" s="33">
        <f>IF(K146&lt;=0,0,MIN('Your debts'!$E$7,K146))</f>
        <v/>
      </c>
      <c r="M146" s="33">
        <f>K146-L146</f>
        <v/>
      </c>
      <c r="N146" s="33">
        <f>IF('Your debts'!$F$7="",0,MIN(M146,MAX(0,MAX(0,'Your debts'!$C$19-(G146+L146+Q146+V146+AA146+AF146+AK146+AP146+AU146+AZ146))-(IF(AND('Your debts'!$F$6&lt;&gt;"",'Your debts'!$F$7&lt;&gt;"",'Your debts'!$F$6&lt;'Your debts'!$F$7),H146,0)+IF(AND('Your debts'!$F$8&lt;&gt;"",'Your debts'!$F$7&lt;&gt;"",'Your debts'!$F$8&lt;'Your debts'!$F$7),R146,0)+IF(AND('Your debts'!$F$9&lt;&gt;"",'Your debts'!$F$7&lt;&gt;"",'Your debts'!$F$9&lt;'Your debts'!$F$7),W146,0)+IF(AND('Your debts'!$F$10&lt;&gt;"",'Your debts'!$F$7&lt;&gt;"",'Your debts'!$F$10&lt;'Your debts'!$F$7),AB146,0)+IF(AND('Your debts'!$F$11&lt;&gt;"",'Your debts'!$F$7&lt;&gt;"",'Your debts'!$F$11&lt;'Your debts'!$F$7),AG146,0)+IF(AND('Your debts'!$F$12&lt;&gt;"",'Your debts'!$F$7&lt;&gt;"",'Your debts'!$F$12&lt;'Your debts'!$F$7),AL146,0)+IF(AND('Your debts'!$F$13&lt;&gt;"",'Your debts'!$F$7&lt;&gt;"",'Your debts'!$F$13&lt;'Your debts'!$F$7),AQ146,0)+IF(AND('Your debts'!$F$14&lt;&gt;"",'Your debts'!$F$7&lt;&gt;"",'Your debts'!$F$14&lt;'Your debts'!$F$7),AV146,0)+IF(AND('Your debts'!$F$15&lt;&gt;"",'Your debts'!$F$7&lt;&gt;"",'Your debts'!$F$15&lt;'Your debts'!$F$7),BA146,0)))))</f>
        <v/>
      </c>
      <c r="O146" s="33">
        <f>M146-N146</f>
        <v/>
      </c>
      <c r="P146" s="33">
        <f>IF(T145&lt;=0,0,ROUND(T145*(1+'Your debts'!$D$8/1200),2))</f>
        <v/>
      </c>
      <c r="Q146" s="33">
        <f>IF(P146&lt;=0,0,MIN('Your debts'!$E$8,P146))</f>
        <v/>
      </c>
      <c r="R146" s="33">
        <f>P146-Q146</f>
        <v/>
      </c>
      <c r="S146" s="33">
        <f>IF('Your debts'!$F$8="",0,MIN(R146,MAX(0,MAX(0,'Your debts'!$C$19-(G146+L146+Q146+V146+AA146+AF146+AK146+AP146+AU146+AZ146))-(IF(AND('Your debts'!$F$6&lt;&gt;"",'Your debts'!$F$8&lt;&gt;"",'Your debts'!$F$6&lt;'Your debts'!$F$8),H146,0)+IF(AND('Your debts'!$F$7&lt;&gt;"",'Your debts'!$F$8&lt;&gt;"",'Your debts'!$F$7&lt;'Your debts'!$F$8),M146,0)+IF(AND('Your debts'!$F$9&lt;&gt;"",'Your debts'!$F$8&lt;&gt;"",'Your debts'!$F$9&lt;'Your debts'!$F$8),W146,0)+IF(AND('Your debts'!$F$10&lt;&gt;"",'Your debts'!$F$8&lt;&gt;"",'Your debts'!$F$10&lt;'Your debts'!$F$8),AB146,0)+IF(AND('Your debts'!$F$11&lt;&gt;"",'Your debts'!$F$8&lt;&gt;"",'Your debts'!$F$11&lt;'Your debts'!$F$8),AG146,0)+IF(AND('Your debts'!$F$12&lt;&gt;"",'Your debts'!$F$8&lt;&gt;"",'Your debts'!$F$12&lt;'Your debts'!$F$8),AL146,0)+IF(AND('Your debts'!$F$13&lt;&gt;"",'Your debts'!$F$8&lt;&gt;"",'Your debts'!$F$13&lt;'Your debts'!$F$8),AQ146,0)+IF(AND('Your debts'!$F$14&lt;&gt;"",'Your debts'!$F$8&lt;&gt;"",'Your debts'!$F$14&lt;'Your debts'!$F$8),AV146,0)+IF(AND('Your debts'!$F$15&lt;&gt;"",'Your debts'!$F$8&lt;&gt;"",'Your debts'!$F$15&lt;'Your debts'!$F$8),BA146,0)))))</f>
        <v/>
      </c>
      <c r="T146" s="33">
        <f>R146-S146</f>
        <v/>
      </c>
      <c r="U146" s="33">
        <f>IF(Y145&lt;=0,0,ROUND(Y145*(1+'Your debts'!$D$9/1200),2))</f>
        <v/>
      </c>
      <c r="V146" s="33">
        <f>IF(U146&lt;=0,0,MIN('Your debts'!$E$9,U146))</f>
        <v/>
      </c>
      <c r="W146" s="33">
        <f>U146-V146</f>
        <v/>
      </c>
      <c r="X146" s="33">
        <f>IF('Your debts'!$F$9="",0,MIN(W146,MAX(0,MAX(0,'Your debts'!$C$19-(G146+L146+Q146+V146+AA146+AF146+AK146+AP146+AU146+AZ146))-(IF(AND('Your debts'!$F$6&lt;&gt;"",'Your debts'!$F$9&lt;&gt;"",'Your debts'!$F$6&lt;'Your debts'!$F$9),H146,0)+IF(AND('Your debts'!$F$7&lt;&gt;"",'Your debts'!$F$9&lt;&gt;"",'Your debts'!$F$7&lt;'Your debts'!$F$9),M146,0)+IF(AND('Your debts'!$F$8&lt;&gt;"",'Your debts'!$F$9&lt;&gt;"",'Your debts'!$F$8&lt;'Your debts'!$F$9),R146,0)+IF(AND('Your debts'!$F$10&lt;&gt;"",'Your debts'!$F$9&lt;&gt;"",'Your debts'!$F$10&lt;'Your debts'!$F$9),AB146,0)+IF(AND('Your debts'!$F$11&lt;&gt;"",'Your debts'!$F$9&lt;&gt;"",'Your debts'!$F$11&lt;'Your debts'!$F$9),AG146,0)+IF(AND('Your debts'!$F$12&lt;&gt;"",'Your debts'!$F$9&lt;&gt;"",'Your debts'!$F$12&lt;'Your debts'!$F$9),AL146,0)+IF(AND('Your debts'!$F$13&lt;&gt;"",'Your debts'!$F$9&lt;&gt;"",'Your debts'!$F$13&lt;'Your debts'!$F$9),AQ146,0)+IF(AND('Your debts'!$F$14&lt;&gt;"",'Your debts'!$F$9&lt;&gt;"",'Your debts'!$F$14&lt;'Your debts'!$F$9),AV146,0)+IF(AND('Your debts'!$F$15&lt;&gt;"",'Your debts'!$F$9&lt;&gt;"",'Your debts'!$F$15&lt;'Your debts'!$F$9),BA146,0)))))</f>
        <v/>
      </c>
      <c r="Y146" s="33">
        <f>W146-X146</f>
        <v/>
      </c>
      <c r="Z146" s="33">
        <f>IF(AD145&lt;=0,0,ROUND(AD145*(1+'Your debts'!$D$10/1200),2))</f>
        <v/>
      </c>
      <c r="AA146" s="33">
        <f>IF(Z146&lt;=0,0,MIN('Your debts'!$E$10,Z146))</f>
        <v/>
      </c>
      <c r="AB146" s="33">
        <f>Z146-AA146</f>
        <v/>
      </c>
      <c r="AC146" s="33">
        <f>IF('Your debts'!$F$10="",0,MIN(AB146,MAX(0,MAX(0,'Your debts'!$C$19-(G146+L146+Q146+V146+AA146+AF146+AK146+AP146+AU146+AZ146))-(IF(AND('Your debts'!$F$6&lt;&gt;"",'Your debts'!$F$10&lt;&gt;"",'Your debts'!$F$6&lt;'Your debts'!$F$10),H146,0)+IF(AND('Your debts'!$F$7&lt;&gt;"",'Your debts'!$F$10&lt;&gt;"",'Your debts'!$F$7&lt;'Your debts'!$F$10),M146,0)+IF(AND('Your debts'!$F$8&lt;&gt;"",'Your debts'!$F$10&lt;&gt;"",'Your debts'!$F$8&lt;'Your debts'!$F$10),R146,0)+IF(AND('Your debts'!$F$9&lt;&gt;"",'Your debts'!$F$10&lt;&gt;"",'Your debts'!$F$9&lt;'Your debts'!$F$10),W146,0)+IF(AND('Your debts'!$F$11&lt;&gt;"",'Your debts'!$F$10&lt;&gt;"",'Your debts'!$F$11&lt;'Your debts'!$F$10),AG146,0)+IF(AND('Your debts'!$F$12&lt;&gt;"",'Your debts'!$F$10&lt;&gt;"",'Your debts'!$F$12&lt;'Your debts'!$F$10),AL146,0)+IF(AND('Your debts'!$F$13&lt;&gt;"",'Your debts'!$F$10&lt;&gt;"",'Your debts'!$F$13&lt;'Your debts'!$F$10),AQ146,0)+IF(AND('Your debts'!$F$14&lt;&gt;"",'Your debts'!$F$10&lt;&gt;"",'Your debts'!$F$14&lt;'Your debts'!$F$10),AV146,0)+IF(AND('Your debts'!$F$15&lt;&gt;"",'Your debts'!$F$10&lt;&gt;"",'Your debts'!$F$15&lt;'Your debts'!$F$10),BA146,0)))))</f>
        <v/>
      </c>
      <c r="AD146" s="33">
        <f>AB146-AC146</f>
        <v/>
      </c>
      <c r="AE146" s="33">
        <f>IF(AI145&lt;=0,0,ROUND(AI145*(1+'Your debts'!$D$11/1200),2))</f>
        <v/>
      </c>
      <c r="AF146" s="33">
        <f>IF(AE146&lt;=0,0,MIN('Your debts'!$E$11,AE146))</f>
        <v/>
      </c>
      <c r="AG146" s="33">
        <f>AE146-AF146</f>
        <v/>
      </c>
      <c r="AH146" s="33">
        <f>IF('Your debts'!$F$11="",0,MIN(AG146,MAX(0,MAX(0,'Your debts'!$C$19-(G146+L146+Q146+V146+AA146+AF146+AK146+AP146+AU146+AZ146))-(IF(AND('Your debts'!$F$6&lt;&gt;"",'Your debts'!$F$11&lt;&gt;"",'Your debts'!$F$6&lt;'Your debts'!$F$11),H146,0)+IF(AND('Your debts'!$F$7&lt;&gt;"",'Your debts'!$F$11&lt;&gt;"",'Your debts'!$F$7&lt;'Your debts'!$F$11),M146,0)+IF(AND('Your debts'!$F$8&lt;&gt;"",'Your debts'!$F$11&lt;&gt;"",'Your debts'!$F$8&lt;'Your debts'!$F$11),R146,0)+IF(AND('Your debts'!$F$9&lt;&gt;"",'Your debts'!$F$11&lt;&gt;"",'Your debts'!$F$9&lt;'Your debts'!$F$11),W146,0)+IF(AND('Your debts'!$F$10&lt;&gt;"",'Your debts'!$F$11&lt;&gt;"",'Your debts'!$F$10&lt;'Your debts'!$F$11),AB146,0)+IF(AND('Your debts'!$F$12&lt;&gt;"",'Your debts'!$F$11&lt;&gt;"",'Your debts'!$F$12&lt;'Your debts'!$F$11),AL146,0)+IF(AND('Your debts'!$F$13&lt;&gt;"",'Your debts'!$F$11&lt;&gt;"",'Your debts'!$F$13&lt;'Your debts'!$F$11),AQ146,0)+IF(AND('Your debts'!$F$14&lt;&gt;"",'Your debts'!$F$11&lt;&gt;"",'Your debts'!$F$14&lt;'Your debts'!$F$11),AV146,0)+IF(AND('Your debts'!$F$15&lt;&gt;"",'Your debts'!$F$11&lt;&gt;"",'Your debts'!$F$15&lt;'Your debts'!$F$11),BA146,0)))))</f>
        <v/>
      </c>
      <c r="AI146" s="33">
        <f>AG146-AH146</f>
        <v/>
      </c>
      <c r="AJ146" s="33">
        <f>IF(AN145&lt;=0,0,ROUND(AN145*(1+'Your debts'!$D$12/1200),2))</f>
        <v/>
      </c>
      <c r="AK146" s="33">
        <f>IF(AJ146&lt;=0,0,MIN('Your debts'!$E$12,AJ146))</f>
        <v/>
      </c>
      <c r="AL146" s="33">
        <f>AJ146-AK146</f>
        <v/>
      </c>
      <c r="AM146" s="33">
        <f>IF('Your debts'!$F$12="",0,MIN(AL146,MAX(0,MAX(0,'Your debts'!$C$19-(G146+L146+Q146+V146+AA146+AF146+AK146+AP146+AU146+AZ146))-(IF(AND('Your debts'!$F$6&lt;&gt;"",'Your debts'!$F$12&lt;&gt;"",'Your debts'!$F$6&lt;'Your debts'!$F$12),H146,0)+IF(AND('Your debts'!$F$7&lt;&gt;"",'Your debts'!$F$12&lt;&gt;"",'Your debts'!$F$7&lt;'Your debts'!$F$12),M146,0)+IF(AND('Your debts'!$F$8&lt;&gt;"",'Your debts'!$F$12&lt;&gt;"",'Your debts'!$F$8&lt;'Your debts'!$F$12),R146,0)+IF(AND('Your debts'!$F$9&lt;&gt;"",'Your debts'!$F$12&lt;&gt;"",'Your debts'!$F$9&lt;'Your debts'!$F$12),W146,0)+IF(AND('Your debts'!$F$10&lt;&gt;"",'Your debts'!$F$12&lt;&gt;"",'Your debts'!$F$10&lt;'Your debts'!$F$12),AB146,0)+IF(AND('Your debts'!$F$11&lt;&gt;"",'Your debts'!$F$12&lt;&gt;"",'Your debts'!$F$11&lt;'Your debts'!$F$12),AG146,0)+IF(AND('Your debts'!$F$13&lt;&gt;"",'Your debts'!$F$12&lt;&gt;"",'Your debts'!$F$13&lt;'Your debts'!$F$12),AQ146,0)+IF(AND('Your debts'!$F$14&lt;&gt;"",'Your debts'!$F$12&lt;&gt;"",'Your debts'!$F$14&lt;'Your debts'!$F$12),AV146,0)+IF(AND('Your debts'!$F$15&lt;&gt;"",'Your debts'!$F$12&lt;&gt;"",'Your debts'!$F$15&lt;'Your debts'!$F$12),BA146,0)))))</f>
        <v/>
      </c>
      <c r="AN146" s="33">
        <f>AL146-AM146</f>
        <v/>
      </c>
      <c r="AO146" s="33">
        <f>IF(AS145&lt;=0,0,ROUND(AS145*(1+'Your debts'!$D$13/1200),2))</f>
        <v/>
      </c>
      <c r="AP146" s="33">
        <f>IF(AO146&lt;=0,0,MIN('Your debts'!$E$13,AO146))</f>
        <v/>
      </c>
      <c r="AQ146" s="33">
        <f>AO146-AP146</f>
        <v/>
      </c>
      <c r="AR146" s="33">
        <f>IF('Your debts'!$F$13="",0,MIN(AQ146,MAX(0,MAX(0,'Your debts'!$C$19-(G146+L146+Q146+V146+AA146+AF146+AK146+AP146+AU146+AZ146))-(IF(AND('Your debts'!$F$6&lt;&gt;"",'Your debts'!$F$13&lt;&gt;"",'Your debts'!$F$6&lt;'Your debts'!$F$13),H146,0)+IF(AND('Your debts'!$F$7&lt;&gt;"",'Your debts'!$F$13&lt;&gt;"",'Your debts'!$F$7&lt;'Your debts'!$F$13),M146,0)+IF(AND('Your debts'!$F$8&lt;&gt;"",'Your debts'!$F$13&lt;&gt;"",'Your debts'!$F$8&lt;'Your debts'!$F$13),R146,0)+IF(AND('Your debts'!$F$9&lt;&gt;"",'Your debts'!$F$13&lt;&gt;"",'Your debts'!$F$9&lt;'Your debts'!$F$13),W146,0)+IF(AND('Your debts'!$F$10&lt;&gt;"",'Your debts'!$F$13&lt;&gt;"",'Your debts'!$F$10&lt;'Your debts'!$F$13),AB146,0)+IF(AND('Your debts'!$F$11&lt;&gt;"",'Your debts'!$F$13&lt;&gt;"",'Your debts'!$F$11&lt;'Your debts'!$F$13),AG146,0)+IF(AND('Your debts'!$F$12&lt;&gt;"",'Your debts'!$F$13&lt;&gt;"",'Your debts'!$F$12&lt;'Your debts'!$F$13),AL146,0)+IF(AND('Your debts'!$F$14&lt;&gt;"",'Your debts'!$F$13&lt;&gt;"",'Your debts'!$F$14&lt;'Your debts'!$F$13),AV146,0)+IF(AND('Your debts'!$F$15&lt;&gt;"",'Your debts'!$F$13&lt;&gt;"",'Your debts'!$F$15&lt;'Your debts'!$F$13),BA146,0)))))</f>
        <v/>
      </c>
      <c r="AS146" s="33">
        <f>AQ146-AR146</f>
        <v/>
      </c>
      <c r="AT146" s="33">
        <f>IF(AX145&lt;=0,0,ROUND(AX145*(1+'Your debts'!$D$14/1200),2))</f>
        <v/>
      </c>
      <c r="AU146" s="33">
        <f>IF(AT146&lt;=0,0,MIN('Your debts'!$E$14,AT146))</f>
        <v/>
      </c>
      <c r="AV146" s="33">
        <f>AT146-AU146</f>
        <v/>
      </c>
      <c r="AW146" s="33">
        <f>IF('Your debts'!$F$14="",0,MIN(AV146,MAX(0,MAX(0,'Your debts'!$C$19-(G146+L146+Q146+V146+AA146+AF146+AK146+AP146+AU146+AZ146))-(IF(AND('Your debts'!$F$6&lt;&gt;"",'Your debts'!$F$14&lt;&gt;"",'Your debts'!$F$6&lt;'Your debts'!$F$14),H146,0)+IF(AND('Your debts'!$F$7&lt;&gt;"",'Your debts'!$F$14&lt;&gt;"",'Your debts'!$F$7&lt;'Your debts'!$F$14),M146,0)+IF(AND('Your debts'!$F$8&lt;&gt;"",'Your debts'!$F$14&lt;&gt;"",'Your debts'!$F$8&lt;'Your debts'!$F$14),R146,0)+IF(AND('Your debts'!$F$9&lt;&gt;"",'Your debts'!$F$14&lt;&gt;"",'Your debts'!$F$9&lt;'Your debts'!$F$14),W146,0)+IF(AND('Your debts'!$F$10&lt;&gt;"",'Your debts'!$F$14&lt;&gt;"",'Your debts'!$F$10&lt;'Your debts'!$F$14),AB146,0)+IF(AND('Your debts'!$F$11&lt;&gt;"",'Your debts'!$F$14&lt;&gt;"",'Your debts'!$F$11&lt;'Your debts'!$F$14),AG146,0)+IF(AND('Your debts'!$F$12&lt;&gt;"",'Your debts'!$F$14&lt;&gt;"",'Your debts'!$F$12&lt;'Your debts'!$F$14),AL146,0)+IF(AND('Your debts'!$F$13&lt;&gt;"",'Your debts'!$F$14&lt;&gt;"",'Your debts'!$F$13&lt;'Your debts'!$F$14),AQ146,0)+IF(AND('Your debts'!$F$15&lt;&gt;"",'Your debts'!$F$14&lt;&gt;"",'Your debts'!$F$15&lt;'Your debts'!$F$14),BA146,0)))))</f>
        <v/>
      </c>
      <c r="AX146" s="33">
        <f>AV146-AW146</f>
        <v/>
      </c>
      <c r="AY146" s="33">
        <f>IF(BC145&lt;=0,0,ROUND(BC145*(1+'Your debts'!$D$15/1200),2))</f>
        <v/>
      </c>
      <c r="AZ146" s="33">
        <f>IF(AY146&lt;=0,0,MIN('Your debts'!$E$15,AY146))</f>
        <v/>
      </c>
      <c r="BA146" s="33">
        <f>AY146-AZ146</f>
        <v/>
      </c>
      <c r="BB146" s="33">
        <f>IF('Your debts'!$F$15="",0,MIN(BA146,MAX(0,MAX(0,'Your debts'!$C$19-(G146+L146+Q146+V146+AA146+AF146+AK146+AP146+AU146+AZ146))-(IF(AND('Your debts'!$F$6&lt;&gt;"",'Your debts'!$F$15&lt;&gt;"",'Your debts'!$F$6&lt;'Your debts'!$F$15),H146,0)+IF(AND('Your debts'!$F$7&lt;&gt;"",'Your debts'!$F$15&lt;&gt;"",'Your debts'!$F$7&lt;'Your debts'!$F$15),M146,0)+IF(AND('Your debts'!$F$8&lt;&gt;"",'Your debts'!$F$15&lt;&gt;"",'Your debts'!$F$8&lt;'Your debts'!$F$15),R146,0)+IF(AND('Your debts'!$F$9&lt;&gt;"",'Your debts'!$F$15&lt;&gt;"",'Your debts'!$F$9&lt;'Your debts'!$F$15),W146,0)+IF(AND('Your debts'!$F$10&lt;&gt;"",'Your debts'!$F$15&lt;&gt;"",'Your debts'!$F$10&lt;'Your debts'!$F$15),AB146,0)+IF(AND('Your debts'!$F$11&lt;&gt;"",'Your debts'!$F$15&lt;&gt;"",'Your debts'!$F$11&lt;'Your debts'!$F$15),AG146,0)+IF(AND('Your debts'!$F$12&lt;&gt;"",'Your debts'!$F$15&lt;&gt;"",'Your debts'!$F$12&lt;'Your debts'!$F$15),AL146,0)+IF(AND('Your debts'!$F$13&lt;&gt;"",'Your debts'!$F$15&lt;&gt;"",'Your debts'!$F$13&lt;'Your debts'!$F$15),AQ146,0)+IF(AND('Your debts'!$F$14&lt;&gt;"",'Your debts'!$F$15&lt;&gt;"",'Your debts'!$F$14&lt;'Your debts'!$F$15),AV146,0)))))</f>
        <v/>
      </c>
      <c r="BC146" s="33">
        <f>BA146-BB146</f>
        <v/>
      </c>
    </row>
    <row r="147">
      <c r="A147" s="30" t="n">
        <v>132</v>
      </c>
      <c r="B147" s="31">
        <f>EDATE($B$15,132)</f>
        <v/>
      </c>
      <c r="C147" s="32">
        <f>IF(J146&lt;=0,0,F147-J146)+IF(O146&lt;=0,0,K147-O146)+IF(T146&lt;=0,0,P147-T146)+IF(Y146&lt;=0,0,U147-Y146)+IF(AD146&lt;=0,0,Z147-AD146)+IF(AI146&lt;=0,0,AE147-AI146)+IF(AN146&lt;=0,0,AJ147-AN146)+IF(AS146&lt;=0,0,AO147-AS146)+IF(AX146&lt;=0,0,AT147-AX146)+IF(BC146&lt;=0,0,AY147-BC146)</f>
        <v/>
      </c>
      <c r="D147" s="32">
        <f>G147+I147+L147+N147+Q147+S147+V147+X147+AA147+AC147+AF147+AH147+AK147+AM147+AP147+AR147+AU147+AW147+AZ147+BB147</f>
        <v/>
      </c>
      <c r="E147" s="32">
        <f>J147+O147+T147+Y147+AD147+AI147+AN147+AS147+AX147+BC147</f>
        <v/>
      </c>
      <c r="F147" s="33">
        <f>IF(J146&lt;=0,0,ROUND(J146*(1+'Your debts'!$D$6/1200),2))</f>
        <v/>
      </c>
      <c r="G147" s="33">
        <f>IF(F147&lt;=0,0,MIN('Your debts'!$E$6,F147))</f>
        <v/>
      </c>
      <c r="H147" s="33">
        <f>F147-G147</f>
        <v/>
      </c>
      <c r="I147" s="33">
        <f>IF('Your debts'!$F$6="",0,MIN(H147,MAX(0,MAX(0,'Your debts'!$C$19-(G147+L147+Q147+V147+AA147+AF147+AK147+AP147+AU147+AZ147))-(IF(AND('Your debts'!$F$7&lt;&gt;"",'Your debts'!$F$6&lt;&gt;"",'Your debts'!$F$7&lt;'Your debts'!$F$6),M147,0)+IF(AND('Your debts'!$F$8&lt;&gt;"",'Your debts'!$F$6&lt;&gt;"",'Your debts'!$F$8&lt;'Your debts'!$F$6),R147,0)+IF(AND('Your debts'!$F$9&lt;&gt;"",'Your debts'!$F$6&lt;&gt;"",'Your debts'!$F$9&lt;'Your debts'!$F$6),W147,0)+IF(AND('Your debts'!$F$10&lt;&gt;"",'Your debts'!$F$6&lt;&gt;"",'Your debts'!$F$10&lt;'Your debts'!$F$6),AB147,0)+IF(AND('Your debts'!$F$11&lt;&gt;"",'Your debts'!$F$6&lt;&gt;"",'Your debts'!$F$11&lt;'Your debts'!$F$6),AG147,0)+IF(AND('Your debts'!$F$12&lt;&gt;"",'Your debts'!$F$6&lt;&gt;"",'Your debts'!$F$12&lt;'Your debts'!$F$6),AL147,0)+IF(AND('Your debts'!$F$13&lt;&gt;"",'Your debts'!$F$6&lt;&gt;"",'Your debts'!$F$13&lt;'Your debts'!$F$6),AQ147,0)+IF(AND('Your debts'!$F$14&lt;&gt;"",'Your debts'!$F$6&lt;&gt;"",'Your debts'!$F$14&lt;'Your debts'!$F$6),AV147,0)+IF(AND('Your debts'!$F$15&lt;&gt;"",'Your debts'!$F$6&lt;&gt;"",'Your debts'!$F$15&lt;'Your debts'!$F$6),BA147,0)))))</f>
        <v/>
      </c>
      <c r="J147" s="33">
        <f>H147-I147</f>
        <v/>
      </c>
      <c r="K147" s="33">
        <f>IF(O146&lt;=0,0,ROUND(O146*(1+'Your debts'!$D$7/1200),2))</f>
        <v/>
      </c>
      <c r="L147" s="33">
        <f>IF(K147&lt;=0,0,MIN('Your debts'!$E$7,K147))</f>
        <v/>
      </c>
      <c r="M147" s="33">
        <f>K147-L147</f>
        <v/>
      </c>
      <c r="N147" s="33">
        <f>IF('Your debts'!$F$7="",0,MIN(M147,MAX(0,MAX(0,'Your debts'!$C$19-(G147+L147+Q147+V147+AA147+AF147+AK147+AP147+AU147+AZ147))-(IF(AND('Your debts'!$F$6&lt;&gt;"",'Your debts'!$F$7&lt;&gt;"",'Your debts'!$F$6&lt;'Your debts'!$F$7),H147,0)+IF(AND('Your debts'!$F$8&lt;&gt;"",'Your debts'!$F$7&lt;&gt;"",'Your debts'!$F$8&lt;'Your debts'!$F$7),R147,0)+IF(AND('Your debts'!$F$9&lt;&gt;"",'Your debts'!$F$7&lt;&gt;"",'Your debts'!$F$9&lt;'Your debts'!$F$7),W147,0)+IF(AND('Your debts'!$F$10&lt;&gt;"",'Your debts'!$F$7&lt;&gt;"",'Your debts'!$F$10&lt;'Your debts'!$F$7),AB147,0)+IF(AND('Your debts'!$F$11&lt;&gt;"",'Your debts'!$F$7&lt;&gt;"",'Your debts'!$F$11&lt;'Your debts'!$F$7),AG147,0)+IF(AND('Your debts'!$F$12&lt;&gt;"",'Your debts'!$F$7&lt;&gt;"",'Your debts'!$F$12&lt;'Your debts'!$F$7),AL147,0)+IF(AND('Your debts'!$F$13&lt;&gt;"",'Your debts'!$F$7&lt;&gt;"",'Your debts'!$F$13&lt;'Your debts'!$F$7),AQ147,0)+IF(AND('Your debts'!$F$14&lt;&gt;"",'Your debts'!$F$7&lt;&gt;"",'Your debts'!$F$14&lt;'Your debts'!$F$7),AV147,0)+IF(AND('Your debts'!$F$15&lt;&gt;"",'Your debts'!$F$7&lt;&gt;"",'Your debts'!$F$15&lt;'Your debts'!$F$7),BA147,0)))))</f>
        <v/>
      </c>
      <c r="O147" s="33">
        <f>M147-N147</f>
        <v/>
      </c>
      <c r="P147" s="33">
        <f>IF(T146&lt;=0,0,ROUND(T146*(1+'Your debts'!$D$8/1200),2))</f>
        <v/>
      </c>
      <c r="Q147" s="33">
        <f>IF(P147&lt;=0,0,MIN('Your debts'!$E$8,P147))</f>
        <v/>
      </c>
      <c r="R147" s="33">
        <f>P147-Q147</f>
        <v/>
      </c>
      <c r="S147" s="33">
        <f>IF('Your debts'!$F$8="",0,MIN(R147,MAX(0,MAX(0,'Your debts'!$C$19-(G147+L147+Q147+V147+AA147+AF147+AK147+AP147+AU147+AZ147))-(IF(AND('Your debts'!$F$6&lt;&gt;"",'Your debts'!$F$8&lt;&gt;"",'Your debts'!$F$6&lt;'Your debts'!$F$8),H147,0)+IF(AND('Your debts'!$F$7&lt;&gt;"",'Your debts'!$F$8&lt;&gt;"",'Your debts'!$F$7&lt;'Your debts'!$F$8),M147,0)+IF(AND('Your debts'!$F$9&lt;&gt;"",'Your debts'!$F$8&lt;&gt;"",'Your debts'!$F$9&lt;'Your debts'!$F$8),W147,0)+IF(AND('Your debts'!$F$10&lt;&gt;"",'Your debts'!$F$8&lt;&gt;"",'Your debts'!$F$10&lt;'Your debts'!$F$8),AB147,0)+IF(AND('Your debts'!$F$11&lt;&gt;"",'Your debts'!$F$8&lt;&gt;"",'Your debts'!$F$11&lt;'Your debts'!$F$8),AG147,0)+IF(AND('Your debts'!$F$12&lt;&gt;"",'Your debts'!$F$8&lt;&gt;"",'Your debts'!$F$12&lt;'Your debts'!$F$8),AL147,0)+IF(AND('Your debts'!$F$13&lt;&gt;"",'Your debts'!$F$8&lt;&gt;"",'Your debts'!$F$13&lt;'Your debts'!$F$8),AQ147,0)+IF(AND('Your debts'!$F$14&lt;&gt;"",'Your debts'!$F$8&lt;&gt;"",'Your debts'!$F$14&lt;'Your debts'!$F$8),AV147,0)+IF(AND('Your debts'!$F$15&lt;&gt;"",'Your debts'!$F$8&lt;&gt;"",'Your debts'!$F$15&lt;'Your debts'!$F$8),BA147,0)))))</f>
        <v/>
      </c>
      <c r="T147" s="33">
        <f>R147-S147</f>
        <v/>
      </c>
      <c r="U147" s="33">
        <f>IF(Y146&lt;=0,0,ROUND(Y146*(1+'Your debts'!$D$9/1200),2))</f>
        <v/>
      </c>
      <c r="V147" s="33">
        <f>IF(U147&lt;=0,0,MIN('Your debts'!$E$9,U147))</f>
        <v/>
      </c>
      <c r="W147" s="33">
        <f>U147-V147</f>
        <v/>
      </c>
      <c r="X147" s="33">
        <f>IF('Your debts'!$F$9="",0,MIN(W147,MAX(0,MAX(0,'Your debts'!$C$19-(G147+L147+Q147+V147+AA147+AF147+AK147+AP147+AU147+AZ147))-(IF(AND('Your debts'!$F$6&lt;&gt;"",'Your debts'!$F$9&lt;&gt;"",'Your debts'!$F$6&lt;'Your debts'!$F$9),H147,0)+IF(AND('Your debts'!$F$7&lt;&gt;"",'Your debts'!$F$9&lt;&gt;"",'Your debts'!$F$7&lt;'Your debts'!$F$9),M147,0)+IF(AND('Your debts'!$F$8&lt;&gt;"",'Your debts'!$F$9&lt;&gt;"",'Your debts'!$F$8&lt;'Your debts'!$F$9),R147,0)+IF(AND('Your debts'!$F$10&lt;&gt;"",'Your debts'!$F$9&lt;&gt;"",'Your debts'!$F$10&lt;'Your debts'!$F$9),AB147,0)+IF(AND('Your debts'!$F$11&lt;&gt;"",'Your debts'!$F$9&lt;&gt;"",'Your debts'!$F$11&lt;'Your debts'!$F$9),AG147,0)+IF(AND('Your debts'!$F$12&lt;&gt;"",'Your debts'!$F$9&lt;&gt;"",'Your debts'!$F$12&lt;'Your debts'!$F$9),AL147,0)+IF(AND('Your debts'!$F$13&lt;&gt;"",'Your debts'!$F$9&lt;&gt;"",'Your debts'!$F$13&lt;'Your debts'!$F$9),AQ147,0)+IF(AND('Your debts'!$F$14&lt;&gt;"",'Your debts'!$F$9&lt;&gt;"",'Your debts'!$F$14&lt;'Your debts'!$F$9),AV147,0)+IF(AND('Your debts'!$F$15&lt;&gt;"",'Your debts'!$F$9&lt;&gt;"",'Your debts'!$F$15&lt;'Your debts'!$F$9),BA147,0)))))</f>
        <v/>
      </c>
      <c r="Y147" s="33">
        <f>W147-X147</f>
        <v/>
      </c>
      <c r="Z147" s="33">
        <f>IF(AD146&lt;=0,0,ROUND(AD146*(1+'Your debts'!$D$10/1200),2))</f>
        <v/>
      </c>
      <c r="AA147" s="33">
        <f>IF(Z147&lt;=0,0,MIN('Your debts'!$E$10,Z147))</f>
        <v/>
      </c>
      <c r="AB147" s="33">
        <f>Z147-AA147</f>
        <v/>
      </c>
      <c r="AC147" s="33">
        <f>IF('Your debts'!$F$10="",0,MIN(AB147,MAX(0,MAX(0,'Your debts'!$C$19-(G147+L147+Q147+V147+AA147+AF147+AK147+AP147+AU147+AZ147))-(IF(AND('Your debts'!$F$6&lt;&gt;"",'Your debts'!$F$10&lt;&gt;"",'Your debts'!$F$6&lt;'Your debts'!$F$10),H147,0)+IF(AND('Your debts'!$F$7&lt;&gt;"",'Your debts'!$F$10&lt;&gt;"",'Your debts'!$F$7&lt;'Your debts'!$F$10),M147,0)+IF(AND('Your debts'!$F$8&lt;&gt;"",'Your debts'!$F$10&lt;&gt;"",'Your debts'!$F$8&lt;'Your debts'!$F$10),R147,0)+IF(AND('Your debts'!$F$9&lt;&gt;"",'Your debts'!$F$10&lt;&gt;"",'Your debts'!$F$9&lt;'Your debts'!$F$10),W147,0)+IF(AND('Your debts'!$F$11&lt;&gt;"",'Your debts'!$F$10&lt;&gt;"",'Your debts'!$F$11&lt;'Your debts'!$F$10),AG147,0)+IF(AND('Your debts'!$F$12&lt;&gt;"",'Your debts'!$F$10&lt;&gt;"",'Your debts'!$F$12&lt;'Your debts'!$F$10),AL147,0)+IF(AND('Your debts'!$F$13&lt;&gt;"",'Your debts'!$F$10&lt;&gt;"",'Your debts'!$F$13&lt;'Your debts'!$F$10),AQ147,0)+IF(AND('Your debts'!$F$14&lt;&gt;"",'Your debts'!$F$10&lt;&gt;"",'Your debts'!$F$14&lt;'Your debts'!$F$10),AV147,0)+IF(AND('Your debts'!$F$15&lt;&gt;"",'Your debts'!$F$10&lt;&gt;"",'Your debts'!$F$15&lt;'Your debts'!$F$10),BA147,0)))))</f>
        <v/>
      </c>
      <c r="AD147" s="33">
        <f>AB147-AC147</f>
        <v/>
      </c>
      <c r="AE147" s="33">
        <f>IF(AI146&lt;=0,0,ROUND(AI146*(1+'Your debts'!$D$11/1200),2))</f>
        <v/>
      </c>
      <c r="AF147" s="33">
        <f>IF(AE147&lt;=0,0,MIN('Your debts'!$E$11,AE147))</f>
        <v/>
      </c>
      <c r="AG147" s="33">
        <f>AE147-AF147</f>
        <v/>
      </c>
      <c r="AH147" s="33">
        <f>IF('Your debts'!$F$11="",0,MIN(AG147,MAX(0,MAX(0,'Your debts'!$C$19-(G147+L147+Q147+V147+AA147+AF147+AK147+AP147+AU147+AZ147))-(IF(AND('Your debts'!$F$6&lt;&gt;"",'Your debts'!$F$11&lt;&gt;"",'Your debts'!$F$6&lt;'Your debts'!$F$11),H147,0)+IF(AND('Your debts'!$F$7&lt;&gt;"",'Your debts'!$F$11&lt;&gt;"",'Your debts'!$F$7&lt;'Your debts'!$F$11),M147,0)+IF(AND('Your debts'!$F$8&lt;&gt;"",'Your debts'!$F$11&lt;&gt;"",'Your debts'!$F$8&lt;'Your debts'!$F$11),R147,0)+IF(AND('Your debts'!$F$9&lt;&gt;"",'Your debts'!$F$11&lt;&gt;"",'Your debts'!$F$9&lt;'Your debts'!$F$11),W147,0)+IF(AND('Your debts'!$F$10&lt;&gt;"",'Your debts'!$F$11&lt;&gt;"",'Your debts'!$F$10&lt;'Your debts'!$F$11),AB147,0)+IF(AND('Your debts'!$F$12&lt;&gt;"",'Your debts'!$F$11&lt;&gt;"",'Your debts'!$F$12&lt;'Your debts'!$F$11),AL147,0)+IF(AND('Your debts'!$F$13&lt;&gt;"",'Your debts'!$F$11&lt;&gt;"",'Your debts'!$F$13&lt;'Your debts'!$F$11),AQ147,0)+IF(AND('Your debts'!$F$14&lt;&gt;"",'Your debts'!$F$11&lt;&gt;"",'Your debts'!$F$14&lt;'Your debts'!$F$11),AV147,0)+IF(AND('Your debts'!$F$15&lt;&gt;"",'Your debts'!$F$11&lt;&gt;"",'Your debts'!$F$15&lt;'Your debts'!$F$11),BA147,0)))))</f>
        <v/>
      </c>
      <c r="AI147" s="33">
        <f>AG147-AH147</f>
        <v/>
      </c>
      <c r="AJ147" s="33">
        <f>IF(AN146&lt;=0,0,ROUND(AN146*(1+'Your debts'!$D$12/1200),2))</f>
        <v/>
      </c>
      <c r="AK147" s="33">
        <f>IF(AJ147&lt;=0,0,MIN('Your debts'!$E$12,AJ147))</f>
        <v/>
      </c>
      <c r="AL147" s="33">
        <f>AJ147-AK147</f>
        <v/>
      </c>
      <c r="AM147" s="33">
        <f>IF('Your debts'!$F$12="",0,MIN(AL147,MAX(0,MAX(0,'Your debts'!$C$19-(G147+L147+Q147+V147+AA147+AF147+AK147+AP147+AU147+AZ147))-(IF(AND('Your debts'!$F$6&lt;&gt;"",'Your debts'!$F$12&lt;&gt;"",'Your debts'!$F$6&lt;'Your debts'!$F$12),H147,0)+IF(AND('Your debts'!$F$7&lt;&gt;"",'Your debts'!$F$12&lt;&gt;"",'Your debts'!$F$7&lt;'Your debts'!$F$12),M147,0)+IF(AND('Your debts'!$F$8&lt;&gt;"",'Your debts'!$F$12&lt;&gt;"",'Your debts'!$F$8&lt;'Your debts'!$F$12),R147,0)+IF(AND('Your debts'!$F$9&lt;&gt;"",'Your debts'!$F$12&lt;&gt;"",'Your debts'!$F$9&lt;'Your debts'!$F$12),W147,0)+IF(AND('Your debts'!$F$10&lt;&gt;"",'Your debts'!$F$12&lt;&gt;"",'Your debts'!$F$10&lt;'Your debts'!$F$12),AB147,0)+IF(AND('Your debts'!$F$11&lt;&gt;"",'Your debts'!$F$12&lt;&gt;"",'Your debts'!$F$11&lt;'Your debts'!$F$12),AG147,0)+IF(AND('Your debts'!$F$13&lt;&gt;"",'Your debts'!$F$12&lt;&gt;"",'Your debts'!$F$13&lt;'Your debts'!$F$12),AQ147,0)+IF(AND('Your debts'!$F$14&lt;&gt;"",'Your debts'!$F$12&lt;&gt;"",'Your debts'!$F$14&lt;'Your debts'!$F$12),AV147,0)+IF(AND('Your debts'!$F$15&lt;&gt;"",'Your debts'!$F$12&lt;&gt;"",'Your debts'!$F$15&lt;'Your debts'!$F$12),BA147,0)))))</f>
        <v/>
      </c>
      <c r="AN147" s="33">
        <f>AL147-AM147</f>
        <v/>
      </c>
      <c r="AO147" s="33">
        <f>IF(AS146&lt;=0,0,ROUND(AS146*(1+'Your debts'!$D$13/1200),2))</f>
        <v/>
      </c>
      <c r="AP147" s="33">
        <f>IF(AO147&lt;=0,0,MIN('Your debts'!$E$13,AO147))</f>
        <v/>
      </c>
      <c r="AQ147" s="33">
        <f>AO147-AP147</f>
        <v/>
      </c>
      <c r="AR147" s="33">
        <f>IF('Your debts'!$F$13="",0,MIN(AQ147,MAX(0,MAX(0,'Your debts'!$C$19-(G147+L147+Q147+V147+AA147+AF147+AK147+AP147+AU147+AZ147))-(IF(AND('Your debts'!$F$6&lt;&gt;"",'Your debts'!$F$13&lt;&gt;"",'Your debts'!$F$6&lt;'Your debts'!$F$13),H147,0)+IF(AND('Your debts'!$F$7&lt;&gt;"",'Your debts'!$F$13&lt;&gt;"",'Your debts'!$F$7&lt;'Your debts'!$F$13),M147,0)+IF(AND('Your debts'!$F$8&lt;&gt;"",'Your debts'!$F$13&lt;&gt;"",'Your debts'!$F$8&lt;'Your debts'!$F$13),R147,0)+IF(AND('Your debts'!$F$9&lt;&gt;"",'Your debts'!$F$13&lt;&gt;"",'Your debts'!$F$9&lt;'Your debts'!$F$13),W147,0)+IF(AND('Your debts'!$F$10&lt;&gt;"",'Your debts'!$F$13&lt;&gt;"",'Your debts'!$F$10&lt;'Your debts'!$F$13),AB147,0)+IF(AND('Your debts'!$F$11&lt;&gt;"",'Your debts'!$F$13&lt;&gt;"",'Your debts'!$F$11&lt;'Your debts'!$F$13),AG147,0)+IF(AND('Your debts'!$F$12&lt;&gt;"",'Your debts'!$F$13&lt;&gt;"",'Your debts'!$F$12&lt;'Your debts'!$F$13),AL147,0)+IF(AND('Your debts'!$F$14&lt;&gt;"",'Your debts'!$F$13&lt;&gt;"",'Your debts'!$F$14&lt;'Your debts'!$F$13),AV147,0)+IF(AND('Your debts'!$F$15&lt;&gt;"",'Your debts'!$F$13&lt;&gt;"",'Your debts'!$F$15&lt;'Your debts'!$F$13),BA147,0)))))</f>
        <v/>
      </c>
      <c r="AS147" s="33">
        <f>AQ147-AR147</f>
        <v/>
      </c>
      <c r="AT147" s="33">
        <f>IF(AX146&lt;=0,0,ROUND(AX146*(1+'Your debts'!$D$14/1200),2))</f>
        <v/>
      </c>
      <c r="AU147" s="33">
        <f>IF(AT147&lt;=0,0,MIN('Your debts'!$E$14,AT147))</f>
        <v/>
      </c>
      <c r="AV147" s="33">
        <f>AT147-AU147</f>
        <v/>
      </c>
      <c r="AW147" s="33">
        <f>IF('Your debts'!$F$14="",0,MIN(AV147,MAX(0,MAX(0,'Your debts'!$C$19-(G147+L147+Q147+V147+AA147+AF147+AK147+AP147+AU147+AZ147))-(IF(AND('Your debts'!$F$6&lt;&gt;"",'Your debts'!$F$14&lt;&gt;"",'Your debts'!$F$6&lt;'Your debts'!$F$14),H147,0)+IF(AND('Your debts'!$F$7&lt;&gt;"",'Your debts'!$F$14&lt;&gt;"",'Your debts'!$F$7&lt;'Your debts'!$F$14),M147,0)+IF(AND('Your debts'!$F$8&lt;&gt;"",'Your debts'!$F$14&lt;&gt;"",'Your debts'!$F$8&lt;'Your debts'!$F$14),R147,0)+IF(AND('Your debts'!$F$9&lt;&gt;"",'Your debts'!$F$14&lt;&gt;"",'Your debts'!$F$9&lt;'Your debts'!$F$14),W147,0)+IF(AND('Your debts'!$F$10&lt;&gt;"",'Your debts'!$F$14&lt;&gt;"",'Your debts'!$F$10&lt;'Your debts'!$F$14),AB147,0)+IF(AND('Your debts'!$F$11&lt;&gt;"",'Your debts'!$F$14&lt;&gt;"",'Your debts'!$F$11&lt;'Your debts'!$F$14),AG147,0)+IF(AND('Your debts'!$F$12&lt;&gt;"",'Your debts'!$F$14&lt;&gt;"",'Your debts'!$F$12&lt;'Your debts'!$F$14),AL147,0)+IF(AND('Your debts'!$F$13&lt;&gt;"",'Your debts'!$F$14&lt;&gt;"",'Your debts'!$F$13&lt;'Your debts'!$F$14),AQ147,0)+IF(AND('Your debts'!$F$15&lt;&gt;"",'Your debts'!$F$14&lt;&gt;"",'Your debts'!$F$15&lt;'Your debts'!$F$14),BA147,0)))))</f>
        <v/>
      </c>
      <c r="AX147" s="33">
        <f>AV147-AW147</f>
        <v/>
      </c>
      <c r="AY147" s="33">
        <f>IF(BC146&lt;=0,0,ROUND(BC146*(1+'Your debts'!$D$15/1200),2))</f>
        <v/>
      </c>
      <c r="AZ147" s="33">
        <f>IF(AY147&lt;=0,0,MIN('Your debts'!$E$15,AY147))</f>
        <v/>
      </c>
      <c r="BA147" s="33">
        <f>AY147-AZ147</f>
        <v/>
      </c>
      <c r="BB147" s="33">
        <f>IF('Your debts'!$F$15="",0,MIN(BA147,MAX(0,MAX(0,'Your debts'!$C$19-(G147+L147+Q147+V147+AA147+AF147+AK147+AP147+AU147+AZ147))-(IF(AND('Your debts'!$F$6&lt;&gt;"",'Your debts'!$F$15&lt;&gt;"",'Your debts'!$F$6&lt;'Your debts'!$F$15),H147,0)+IF(AND('Your debts'!$F$7&lt;&gt;"",'Your debts'!$F$15&lt;&gt;"",'Your debts'!$F$7&lt;'Your debts'!$F$15),M147,0)+IF(AND('Your debts'!$F$8&lt;&gt;"",'Your debts'!$F$15&lt;&gt;"",'Your debts'!$F$8&lt;'Your debts'!$F$15),R147,0)+IF(AND('Your debts'!$F$9&lt;&gt;"",'Your debts'!$F$15&lt;&gt;"",'Your debts'!$F$9&lt;'Your debts'!$F$15),W147,0)+IF(AND('Your debts'!$F$10&lt;&gt;"",'Your debts'!$F$15&lt;&gt;"",'Your debts'!$F$10&lt;'Your debts'!$F$15),AB147,0)+IF(AND('Your debts'!$F$11&lt;&gt;"",'Your debts'!$F$15&lt;&gt;"",'Your debts'!$F$11&lt;'Your debts'!$F$15),AG147,0)+IF(AND('Your debts'!$F$12&lt;&gt;"",'Your debts'!$F$15&lt;&gt;"",'Your debts'!$F$12&lt;'Your debts'!$F$15),AL147,0)+IF(AND('Your debts'!$F$13&lt;&gt;"",'Your debts'!$F$15&lt;&gt;"",'Your debts'!$F$13&lt;'Your debts'!$F$15),AQ147,0)+IF(AND('Your debts'!$F$14&lt;&gt;"",'Your debts'!$F$15&lt;&gt;"",'Your debts'!$F$14&lt;'Your debts'!$F$15),AV147,0)))))</f>
        <v/>
      </c>
      <c r="BC147" s="33">
        <f>BA147-BB147</f>
        <v/>
      </c>
    </row>
    <row r="148">
      <c r="A148" s="30" t="n">
        <v>133</v>
      </c>
      <c r="B148" s="31">
        <f>EDATE($B$15,133)</f>
        <v/>
      </c>
      <c r="C148" s="32">
        <f>IF(J147&lt;=0,0,F148-J147)+IF(O147&lt;=0,0,K148-O147)+IF(T147&lt;=0,0,P148-T147)+IF(Y147&lt;=0,0,U148-Y147)+IF(AD147&lt;=0,0,Z148-AD147)+IF(AI147&lt;=0,0,AE148-AI147)+IF(AN147&lt;=0,0,AJ148-AN147)+IF(AS147&lt;=0,0,AO148-AS147)+IF(AX147&lt;=0,0,AT148-AX147)+IF(BC147&lt;=0,0,AY148-BC147)</f>
        <v/>
      </c>
      <c r="D148" s="32">
        <f>G148+I148+L148+N148+Q148+S148+V148+X148+AA148+AC148+AF148+AH148+AK148+AM148+AP148+AR148+AU148+AW148+AZ148+BB148</f>
        <v/>
      </c>
      <c r="E148" s="32">
        <f>J148+O148+T148+Y148+AD148+AI148+AN148+AS148+AX148+BC148</f>
        <v/>
      </c>
      <c r="F148" s="33">
        <f>IF(J147&lt;=0,0,ROUND(J147*(1+'Your debts'!$D$6/1200),2))</f>
        <v/>
      </c>
      <c r="G148" s="33">
        <f>IF(F148&lt;=0,0,MIN('Your debts'!$E$6,F148))</f>
        <v/>
      </c>
      <c r="H148" s="33">
        <f>F148-G148</f>
        <v/>
      </c>
      <c r="I148" s="33">
        <f>IF('Your debts'!$F$6="",0,MIN(H148,MAX(0,MAX(0,'Your debts'!$C$19-(G148+L148+Q148+V148+AA148+AF148+AK148+AP148+AU148+AZ148))-(IF(AND('Your debts'!$F$7&lt;&gt;"",'Your debts'!$F$6&lt;&gt;"",'Your debts'!$F$7&lt;'Your debts'!$F$6),M148,0)+IF(AND('Your debts'!$F$8&lt;&gt;"",'Your debts'!$F$6&lt;&gt;"",'Your debts'!$F$8&lt;'Your debts'!$F$6),R148,0)+IF(AND('Your debts'!$F$9&lt;&gt;"",'Your debts'!$F$6&lt;&gt;"",'Your debts'!$F$9&lt;'Your debts'!$F$6),W148,0)+IF(AND('Your debts'!$F$10&lt;&gt;"",'Your debts'!$F$6&lt;&gt;"",'Your debts'!$F$10&lt;'Your debts'!$F$6),AB148,0)+IF(AND('Your debts'!$F$11&lt;&gt;"",'Your debts'!$F$6&lt;&gt;"",'Your debts'!$F$11&lt;'Your debts'!$F$6),AG148,0)+IF(AND('Your debts'!$F$12&lt;&gt;"",'Your debts'!$F$6&lt;&gt;"",'Your debts'!$F$12&lt;'Your debts'!$F$6),AL148,0)+IF(AND('Your debts'!$F$13&lt;&gt;"",'Your debts'!$F$6&lt;&gt;"",'Your debts'!$F$13&lt;'Your debts'!$F$6),AQ148,0)+IF(AND('Your debts'!$F$14&lt;&gt;"",'Your debts'!$F$6&lt;&gt;"",'Your debts'!$F$14&lt;'Your debts'!$F$6),AV148,0)+IF(AND('Your debts'!$F$15&lt;&gt;"",'Your debts'!$F$6&lt;&gt;"",'Your debts'!$F$15&lt;'Your debts'!$F$6),BA148,0)))))</f>
        <v/>
      </c>
      <c r="J148" s="33">
        <f>H148-I148</f>
        <v/>
      </c>
      <c r="K148" s="33">
        <f>IF(O147&lt;=0,0,ROUND(O147*(1+'Your debts'!$D$7/1200),2))</f>
        <v/>
      </c>
      <c r="L148" s="33">
        <f>IF(K148&lt;=0,0,MIN('Your debts'!$E$7,K148))</f>
        <v/>
      </c>
      <c r="M148" s="33">
        <f>K148-L148</f>
        <v/>
      </c>
      <c r="N148" s="33">
        <f>IF('Your debts'!$F$7="",0,MIN(M148,MAX(0,MAX(0,'Your debts'!$C$19-(G148+L148+Q148+V148+AA148+AF148+AK148+AP148+AU148+AZ148))-(IF(AND('Your debts'!$F$6&lt;&gt;"",'Your debts'!$F$7&lt;&gt;"",'Your debts'!$F$6&lt;'Your debts'!$F$7),H148,0)+IF(AND('Your debts'!$F$8&lt;&gt;"",'Your debts'!$F$7&lt;&gt;"",'Your debts'!$F$8&lt;'Your debts'!$F$7),R148,0)+IF(AND('Your debts'!$F$9&lt;&gt;"",'Your debts'!$F$7&lt;&gt;"",'Your debts'!$F$9&lt;'Your debts'!$F$7),W148,0)+IF(AND('Your debts'!$F$10&lt;&gt;"",'Your debts'!$F$7&lt;&gt;"",'Your debts'!$F$10&lt;'Your debts'!$F$7),AB148,0)+IF(AND('Your debts'!$F$11&lt;&gt;"",'Your debts'!$F$7&lt;&gt;"",'Your debts'!$F$11&lt;'Your debts'!$F$7),AG148,0)+IF(AND('Your debts'!$F$12&lt;&gt;"",'Your debts'!$F$7&lt;&gt;"",'Your debts'!$F$12&lt;'Your debts'!$F$7),AL148,0)+IF(AND('Your debts'!$F$13&lt;&gt;"",'Your debts'!$F$7&lt;&gt;"",'Your debts'!$F$13&lt;'Your debts'!$F$7),AQ148,0)+IF(AND('Your debts'!$F$14&lt;&gt;"",'Your debts'!$F$7&lt;&gt;"",'Your debts'!$F$14&lt;'Your debts'!$F$7),AV148,0)+IF(AND('Your debts'!$F$15&lt;&gt;"",'Your debts'!$F$7&lt;&gt;"",'Your debts'!$F$15&lt;'Your debts'!$F$7),BA148,0)))))</f>
        <v/>
      </c>
      <c r="O148" s="33">
        <f>M148-N148</f>
        <v/>
      </c>
      <c r="P148" s="33">
        <f>IF(T147&lt;=0,0,ROUND(T147*(1+'Your debts'!$D$8/1200),2))</f>
        <v/>
      </c>
      <c r="Q148" s="33">
        <f>IF(P148&lt;=0,0,MIN('Your debts'!$E$8,P148))</f>
        <v/>
      </c>
      <c r="R148" s="33">
        <f>P148-Q148</f>
        <v/>
      </c>
      <c r="S148" s="33">
        <f>IF('Your debts'!$F$8="",0,MIN(R148,MAX(0,MAX(0,'Your debts'!$C$19-(G148+L148+Q148+V148+AA148+AF148+AK148+AP148+AU148+AZ148))-(IF(AND('Your debts'!$F$6&lt;&gt;"",'Your debts'!$F$8&lt;&gt;"",'Your debts'!$F$6&lt;'Your debts'!$F$8),H148,0)+IF(AND('Your debts'!$F$7&lt;&gt;"",'Your debts'!$F$8&lt;&gt;"",'Your debts'!$F$7&lt;'Your debts'!$F$8),M148,0)+IF(AND('Your debts'!$F$9&lt;&gt;"",'Your debts'!$F$8&lt;&gt;"",'Your debts'!$F$9&lt;'Your debts'!$F$8),W148,0)+IF(AND('Your debts'!$F$10&lt;&gt;"",'Your debts'!$F$8&lt;&gt;"",'Your debts'!$F$10&lt;'Your debts'!$F$8),AB148,0)+IF(AND('Your debts'!$F$11&lt;&gt;"",'Your debts'!$F$8&lt;&gt;"",'Your debts'!$F$11&lt;'Your debts'!$F$8),AG148,0)+IF(AND('Your debts'!$F$12&lt;&gt;"",'Your debts'!$F$8&lt;&gt;"",'Your debts'!$F$12&lt;'Your debts'!$F$8),AL148,0)+IF(AND('Your debts'!$F$13&lt;&gt;"",'Your debts'!$F$8&lt;&gt;"",'Your debts'!$F$13&lt;'Your debts'!$F$8),AQ148,0)+IF(AND('Your debts'!$F$14&lt;&gt;"",'Your debts'!$F$8&lt;&gt;"",'Your debts'!$F$14&lt;'Your debts'!$F$8),AV148,0)+IF(AND('Your debts'!$F$15&lt;&gt;"",'Your debts'!$F$8&lt;&gt;"",'Your debts'!$F$15&lt;'Your debts'!$F$8),BA148,0)))))</f>
        <v/>
      </c>
      <c r="T148" s="33">
        <f>R148-S148</f>
        <v/>
      </c>
      <c r="U148" s="33">
        <f>IF(Y147&lt;=0,0,ROUND(Y147*(1+'Your debts'!$D$9/1200),2))</f>
        <v/>
      </c>
      <c r="V148" s="33">
        <f>IF(U148&lt;=0,0,MIN('Your debts'!$E$9,U148))</f>
        <v/>
      </c>
      <c r="W148" s="33">
        <f>U148-V148</f>
        <v/>
      </c>
      <c r="X148" s="33">
        <f>IF('Your debts'!$F$9="",0,MIN(W148,MAX(0,MAX(0,'Your debts'!$C$19-(G148+L148+Q148+V148+AA148+AF148+AK148+AP148+AU148+AZ148))-(IF(AND('Your debts'!$F$6&lt;&gt;"",'Your debts'!$F$9&lt;&gt;"",'Your debts'!$F$6&lt;'Your debts'!$F$9),H148,0)+IF(AND('Your debts'!$F$7&lt;&gt;"",'Your debts'!$F$9&lt;&gt;"",'Your debts'!$F$7&lt;'Your debts'!$F$9),M148,0)+IF(AND('Your debts'!$F$8&lt;&gt;"",'Your debts'!$F$9&lt;&gt;"",'Your debts'!$F$8&lt;'Your debts'!$F$9),R148,0)+IF(AND('Your debts'!$F$10&lt;&gt;"",'Your debts'!$F$9&lt;&gt;"",'Your debts'!$F$10&lt;'Your debts'!$F$9),AB148,0)+IF(AND('Your debts'!$F$11&lt;&gt;"",'Your debts'!$F$9&lt;&gt;"",'Your debts'!$F$11&lt;'Your debts'!$F$9),AG148,0)+IF(AND('Your debts'!$F$12&lt;&gt;"",'Your debts'!$F$9&lt;&gt;"",'Your debts'!$F$12&lt;'Your debts'!$F$9),AL148,0)+IF(AND('Your debts'!$F$13&lt;&gt;"",'Your debts'!$F$9&lt;&gt;"",'Your debts'!$F$13&lt;'Your debts'!$F$9),AQ148,0)+IF(AND('Your debts'!$F$14&lt;&gt;"",'Your debts'!$F$9&lt;&gt;"",'Your debts'!$F$14&lt;'Your debts'!$F$9),AV148,0)+IF(AND('Your debts'!$F$15&lt;&gt;"",'Your debts'!$F$9&lt;&gt;"",'Your debts'!$F$15&lt;'Your debts'!$F$9),BA148,0)))))</f>
        <v/>
      </c>
      <c r="Y148" s="33">
        <f>W148-X148</f>
        <v/>
      </c>
      <c r="Z148" s="33">
        <f>IF(AD147&lt;=0,0,ROUND(AD147*(1+'Your debts'!$D$10/1200),2))</f>
        <v/>
      </c>
      <c r="AA148" s="33">
        <f>IF(Z148&lt;=0,0,MIN('Your debts'!$E$10,Z148))</f>
        <v/>
      </c>
      <c r="AB148" s="33">
        <f>Z148-AA148</f>
        <v/>
      </c>
      <c r="AC148" s="33">
        <f>IF('Your debts'!$F$10="",0,MIN(AB148,MAX(0,MAX(0,'Your debts'!$C$19-(G148+L148+Q148+V148+AA148+AF148+AK148+AP148+AU148+AZ148))-(IF(AND('Your debts'!$F$6&lt;&gt;"",'Your debts'!$F$10&lt;&gt;"",'Your debts'!$F$6&lt;'Your debts'!$F$10),H148,0)+IF(AND('Your debts'!$F$7&lt;&gt;"",'Your debts'!$F$10&lt;&gt;"",'Your debts'!$F$7&lt;'Your debts'!$F$10),M148,0)+IF(AND('Your debts'!$F$8&lt;&gt;"",'Your debts'!$F$10&lt;&gt;"",'Your debts'!$F$8&lt;'Your debts'!$F$10),R148,0)+IF(AND('Your debts'!$F$9&lt;&gt;"",'Your debts'!$F$10&lt;&gt;"",'Your debts'!$F$9&lt;'Your debts'!$F$10),W148,0)+IF(AND('Your debts'!$F$11&lt;&gt;"",'Your debts'!$F$10&lt;&gt;"",'Your debts'!$F$11&lt;'Your debts'!$F$10),AG148,0)+IF(AND('Your debts'!$F$12&lt;&gt;"",'Your debts'!$F$10&lt;&gt;"",'Your debts'!$F$12&lt;'Your debts'!$F$10),AL148,0)+IF(AND('Your debts'!$F$13&lt;&gt;"",'Your debts'!$F$10&lt;&gt;"",'Your debts'!$F$13&lt;'Your debts'!$F$10),AQ148,0)+IF(AND('Your debts'!$F$14&lt;&gt;"",'Your debts'!$F$10&lt;&gt;"",'Your debts'!$F$14&lt;'Your debts'!$F$10),AV148,0)+IF(AND('Your debts'!$F$15&lt;&gt;"",'Your debts'!$F$10&lt;&gt;"",'Your debts'!$F$15&lt;'Your debts'!$F$10),BA148,0)))))</f>
        <v/>
      </c>
      <c r="AD148" s="33">
        <f>AB148-AC148</f>
        <v/>
      </c>
      <c r="AE148" s="33">
        <f>IF(AI147&lt;=0,0,ROUND(AI147*(1+'Your debts'!$D$11/1200),2))</f>
        <v/>
      </c>
      <c r="AF148" s="33">
        <f>IF(AE148&lt;=0,0,MIN('Your debts'!$E$11,AE148))</f>
        <v/>
      </c>
      <c r="AG148" s="33">
        <f>AE148-AF148</f>
        <v/>
      </c>
      <c r="AH148" s="33">
        <f>IF('Your debts'!$F$11="",0,MIN(AG148,MAX(0,MAX(0,'Your debts'!$C$19-(G148+L148+Q148+V148+AA148+AF148+AK148+AP148+AU148+AZ148))-(IF(AND('Your debts'!$F$6&lt;&gt;"",'Your debts'!$F$11&lt;&gt;"",'Your debts'!$F$6&lt;'Your debts'!$F$11),H148,0)+IF(AND('Your debts'!$F$7&lt;&gt;"",'Your debts'!$F$11&lt;&gt;"",'Your debts'!$F$7&lt;'Your debts'!$F$11),M148,0)+IF(AND('Your debts'!$F$8&lt;&gt;"",'Your debts'!$F$11&lt;&gt;"",'Your debts'!$F$8&lt;'Your debts'!$F$11),R148,0)+IF(AND('Your debts'!$F$9&lt;&gt;"",'Your debts'!$F$11&lt;&gt;"",'Your debts'!$F$9&lt;'Your debts'!$F$11),W148,0)+IF(AND('Your debts'!$F$10&lt;&gt;"",'Your debts'!$F$11&lt;&gt;"",'Your debts'!$F$10&lt;'Your debts'!$F$11),AB148,0)+IF(AND('Your debts'!$F$12&lt;&gt;"",'Your debts'!$F$11&lt;&gt;"",'Your debts'!$F$12&lt;'Your debts'!$F$11),AL148,0)+IF(AND('Your debts'!$F$13&lt;&gt;"",'Your debts'!$F$11&lt;&gt;"",'Your debts'!$F$13&lt;'Your debts'!$F$11),AQ148,0)+IF(AND('Your debts'!$F$14&lt;&gt;"",'Your debts'!$F$11&lt;&gt;"",'Your debts'!$F$14&lt;'Your debts'!$F$11),AV148,0)+IF(AND('Your debts'!$F$15&lt;&gt;"",'Your debts'!$F$11&lt;&gt;"",'Your debts'!$F$15&lt;'Your debts'!$F$11),BA148,0)))))</f>
        <v/>
      </c>
      <c r="AI148" s="33">
        <f>AG148-AH148</f>
        <v/>
      </c>
      <c r="AJ148" s="33">
        <f>IF(AN147&lt;=0,0,ROUND(AN147*(1+'Your debts'!$D$12/1200),2))</f>
        <v/>
      </c>
      <c r="AK148" s="33">
        <f>IF(AJ148&lt;=0,0,MIN('Your debts'!$E$12,AJ148))</f>
        <v/>
      </c>
      <c r="AL148" s="33">
        <f>AJ148-AK148</f>
        <v/>
      </c>
      <c r="AM148" s="33">
        <f>IF('Your debts'!$F$12="",0,MIN(AL148,MAX(0,MAX(0,'Your debts'!$C$19-(G148+L148+Q148+V148+AA148+AF148+AK148+AP148+AU148+AZ148))-(IF(AND('Your debts'!$F$6&lt;&gt;"",'Your debts'!$F$12&lt;&gt;"",'Your debts'!$F$6&lt;'Your debts'!$F$12),H148,0)+IF(AND('Your debts'!$F$7&lt;&gt;"",'Your debts'!$F$12&lt;&gt;"",'Your debts'!$F$7&lt;'Your debts'!$F$12),M148,0)+IF(AND('Your debts'!$F$8&lt;&gt;"",'Your debts'!$F$12&lt;&gt;"",'Your debts'!$F$8&lt;'Your debts'!$F$12),R148,0)+IF(AND('Your debts'!$F$9&lt;&gt;"",'Your debts'!$F$12&lt;&gt;"",'Your debts'!$F$9&lt;'Your debts'!$F$12),W148,0)+IF(AND('Your debts'!$F$10&lt;&gt;"",'Your debts'!$F$12&lt;&gt;"",'Your debts'!$F$10&lt;'Your debts'!$F$12),AB148,0)+IF(AND('Your debts'!$F$11&lt;&gt;"",'Your debts'!$F$12&lt;&gt;"",'Your debts'!$F$11&lt;'Your debts'!$F$12),AG148,0)+IF(AND('Your debts'!$F$13&lt;&gt;"",'Your debts'!$F$12&lt;&gt;"",'Your debts'!$F$13&lt;'Your debts'!$F$12),AQ148,0)+IF(AND('Your debts'!$F$14&lt;&gt;"",'Your debts'!$F$12&lt;&gt;"",'Your debts'!$F$14&lt;'Your debts'!$F$12),AV148,0)+IF(AND('Your debts'!$F$15&lt;&gt;"",'Your debts'!$F$12&lt;&gt;"",'Your debts'!$F$15&lt;'Your debts'!$F$12),BA148,0)))))</f>
        <v/>
      </c>
      <c r="AN148" s="33">
        <f>AL148-AM148</f>
        <v/>
      </c>
      <c r="AO148" s="33">
        <f>IF(AS147&lt;=0,0,ROUND(AS147*(1+'Your debts'!$D$13/1200),2))</f>
        <v/>
      </c>
      <c r="AP148" s="33">
        <f>IF(AO148&lt;=0,0,MIN('Your debts'!$E$13,AO148))</f>
        <v/>
      </c>
      <c r="AQ148" s="33">
        <f>AO148-AP148</f>
        <v/>
      </c>
      <c r="AR148" s="33">
        <f>IF('Your debts'!$F$13="",0,MIN(AQ148,MAX(0,MAX(0,'Your debts'!$C$19-(G148+L148+Q148+V148+AA148+AF148+AK148+AP148+AU148+AZ148))-(IF(AND('Your debts'!$F$6&lt;&gt;"",'Your debts'!$F$13&lt;&gt;"",'Your debts'!$F$6&lt;'Your debts'!$F$13),H148,0)+IF(AND('Your debts'!$F$7&lt;&gt;"",'Your debts'!$F$13&lt;&gt;"",'Your debts'!$F$7&lt;'Your debts'!$F$13),M148,0)+IF(AND('Your debts'!$F$8&lt;&gt;"",'Your debts'!$F$13&lt;&gt;"",'Your debts'!$F$8&lt;'Your debts'!$F$13),R148,0)+IF(AND('Your debts'!$F$9&lt;&gt;"",'Your debts'!$F$13&lt;&gt;"",'Your debts'!$F$9&lt;'Your debts'!$F$13),W148,0)+IF(AND('Your debts'!$F$10&lt;&gt;"",'Your debts'!$F$13&lt;&gt;"",'Your debts'!$F$10&lt;'Your debts'!$F$13),AB148,0)+IF(AND('Your debts'!$F$11&lt;&gt;"",'Your debts'!$F$13&lt;&gt;"",'Your debts'!$F$11&lt;'Your debts'!$F$13),AG148,0)+IF(AND('Your debts'!$F$12&lt;&gt;"",'Your debts'!$F$13&lt;&gt;"",'Your debts'!$F$12&lt;'Your debts'!$F$13),AL148,0)+IF(AND('Your debts'!$F$14&lt;&gt;"",'Your debts'!$F$13&lt;&gt;"",'Your debts'!$F$14&lt;'Your debts'!$F$13),AV148,0)+IF(AND('Your debts'!$F$15&lt;&gt;"",'Your debts'!$F$13&lt;&gt;"",'Your debts'!$F$15&lt;'Your debts'!$F$13),BA148,0)))))</f>
        <v/>
      </c>
      <c r="AS148" s="33">
        <f>AQ148-AR148</f>
        <v/>
      </c>
      <c r="AT148" s="33">
        <f>IF(AX147&lt;=0,0,ROUND(AX147*(1+'Your debts'!$D$14/1200),2))</f>
        <v/>
      </c>
      <c r="AU148" s="33">
        <f>IF(AT148&lt;=0,0,MIN('Your debts'!$E$14,AT148))</f>
        <v/>
      </c>
      <c r="AV148" s="33">
        <f>AT148-AU148</f>
        <v/>
      </c>
      <c r="AW148" s="33">
        <f>IF('Your debts'!$F$14="",0,MIN(AV148,MAX(0,MAX(0,'Your debts'!$C$19-(G148+L148+Q148+V148+AA148+AF148+AK148+AP148+AU148+AZ148))-(IF(AND('Your debts'!$F$6&lt;&gt;"",'Your debts'!$F$14&lt;&gt;"",'Your debts'!$F$6&lt;'Your debts'!$F$14),H148,0)+IF(AND('Your debts'!$F$7&lt;&gt;"",'Your debts'!$F$14&lt;&gt;"",'Your debts'!$F$7&lt;'Your debts'!$F$14),M148,0)+IF(AND('Your debts'!$F$8&lt;&gt;"",'Your debts'!$F$14&lt;&gt;"",'Your debts'!$F$8&lt;'Your debts'!$F$14),R148,0)+IF(AND('Your debts'!$F$9&lt;&gt;"",'Your debts'!$F$14&lt;&gt;"",'Your debts'!$F$9&lt;'Your debts'!$F$14),W148,0)+IF(AND('Your debts'!$F$10&lt;&gt;"",'Your debts'!$F$14&lt;&gt;"",'Your debts'!$F$10&lt;'Your debts'!$F$14),AB148,0)+IF(AND('Your debts'!$F$11&lt;&gt;"",'Your debts'!$F$14&lt;&gt;"",'Your debts'!$F$11&lt;'Your debts'!$F$14),AG148,0)+IF(AND('Your debts'!$F$12&lt;&gt;"",'Your debts'!$F$14&lt;&gt;"",'Your debts'!$F$12&lt;'Your debts'!$F$14),AL148,0)+IF(AND('Your debts'!$F$13&lt;&gt;"",'Your debts'!$F$14&lt;&gt;"",'Your debts'!$F$13&lt;'Your debts'!$F$14),AQ148,0)+IF(AND('Your debts'!$F$15&lt;&gt;"",'Your debts'!$F$14&lt;&gt;"",'Your debts'!$F$15&lt;'Your debts'!$F$14),BA148,0)))))</f>
        <v/>
      </c>
      <c r="AX148" s="33">
        <f>AV148-AW148</f>
        <v/>
      </c>
      <c r="AY148" s="33">
        <f>IF(BC147&lt;=0,0,ROUND(BC147*(1+'Your debts'!$D$15/1200),2))</f>
        <v/>
      </c>
      <c r="AZ148" s="33">
        <f>IF(AY148&lt;=0,0,MIN('Your debts'!$E$15,AY148))</f>
        <v/>
      </c>
      <c r="BA148" s="33">
        <f>AY148-AZ148</f>
        <v/>
      </c>
      <c r="BB148" s="33">
        <f>IF('Your debts'!$F$15="",0,MIN(BA148,MAX(0,MAX(0,'Your debts'!$C$19-(G148+L148+Q148+V148+AA148+AF148+AK148+AP148+AU148+AZ148))-(IF(AND('Your debts'!$F$6&lt;&gt;"",'Your debts'!$F$15&lt;&gt;"",'Your debts'!$F$6&lt;'Your debts'!$F$15),H148,0)+IF(AND('Your debts'!$F$7&lt;&gt;"",'Your debts'!$F$15&lt;&gt;"",'Your debts'!$F$7&lt;'Your debts'!$F$15),M148,0)+IF(AND('Your debts'!$F$8&lt;&gt;"",'Your debts'!$F$15&lt;&gt;"",'Your debts'!$F$8&lt;'Your debts'!$F$15),R148,0)+IF(AND('Your debts'!$F$9&lt;&gt;"",'Your debts'!$F$15&lt;&gt;"",'Your debts'!$F$9&lt;'Your debts'!$F$15),W148,0)+IF(AND('Your debts'!$F$10&lt;&gt;"",'Your debts'!$F$15&lt;&gt;"",'Your debts'!$F$10&lt;'Your debts'!$F$15),AB148,0)+IF(AND('Your debts'!$F$11&lt;&gt;"",'Your debts'!$F$15&lt;&gt;"",'Your debts'!$F$11&lt;'Your debts'!$F$15),AG148,0)+IF(AND('Your debts'!$F$12&lt;&gt;"",'Your debts'!$F$15&lt;&gt;"",'Your debts'!$F$12&lt;'Your debts'!$F$15),AL148,0)+IF(AND('Your debts'!$F$13&lt;&gt;"",'Your debts'!$F$15&lt;&gt;"",'Your debts'!$F$13&lt;'Your debts'!$F$15),AQ148,0)+IF(AND('Your debts'!$F$14&lt;&gt;"",'Your debts'!$F$15&lt;&gt;"",'Your debts'!$F$14&lt;'Your debts'!$F$15),AV148,0)))))</f>
        <v/>
      </c>
      <c r="BC148" s="33">
        <f>BA148-BB148</f>
        <v/>
      </c>
    </row>
    <row r="149">
      <c r="A149" s="30" t="n">
        <v>134</v>
      </c>
      <c r="B149" s="31">
        <f>EDATE($B$15,134)</f>
        <v/>
      </c>
      <c r="C149" s="32">
        <f>IF(J148&lt;=0,0,F149-J148)+IF(O148&lt;=0,0,K149-O148)+IF(T148&lt;=0,0,P149-T148)+IF(Y148&lt;=0,0,U149-Y148)+IF(AD148&lt;=0,0,Z149-AD148)+IF(AI148&lt;=0,0,AE149-AI148)+IF(AN148&lt;=0,0,AJ149-AN148)+IF(AS148&lt;=0,0,AO149-AS148)+IF(AX148&lt;=0,0,AT149-AX148)+IF(BC148&lt;=0,0,AY149-BC148)</f>
        <v/>
      </c>
      <c r="D149" s="32">
        <f>G149+I149+L149+N149+Q149+S149+V149+X149+AA149+AC149+AF149+AH149+AK149+AM149+AP149+AR149+AU149+AW149+AZ149+BB149</f>
        <v/>
      </c>
      <c r="E149" s="32">
        <f>J149+O149+T149+Y149+AD149+AI149+AN149+AS149+AX149+BC149</f>
        <v/>
      </c>
      <c r="F149" s="33">
        <f>IF(J148&lt;=0,0,ROUND(J148*(1+'Your debts'!$D$6/1200),2))</f>
        <v/>
      </c>
      <c r="G149" s="33">
        <f>IF(F149&lt;=0,0,MIN('Your debts'!$E$6,F149))</f>
        <v/>
      </c>
      <c r="H149" s="33">
        <f>F149-G149</f>
        <v/>
      </c>
      <c r="I149" s="33">
        <f>IF('Your debts'!$F$6="",0,MIN(H149,MAX(0,MAX(0,'Your debts'!$C$19-(G149+L149+Q149+V149+AA149+AF149+AK149+AP149+AU149+AZ149))-(IF(AND('Your debts'!$F$7&lt;&gt;"",'Your debts'!$F$6&lt;&gt;"",'Your debts'!$F$7&lt;'Your debts'!$F$6),M149,0)+IF(AND('Your debts'!$F$8&lt;&gt;"",'Your debts'!$F$6&lt;&gt;"",'Your debts'!$F$8&lt;'Your debts'!$F$6),R149,0)+IF(AND('Your debts'!$F$9&lt;&gt;"",'Your debts'!$F$6&lt;&gt;"",'Your debts'!$F$9&lt;'Your debts'!$F$6),W149,0)+IF(AND('Your debts'!$F$10&lt;&gt;"",'Your debts'!$F$6&lt;&gt;"",'Your debts'!$F$10&lt;'Your debts'!$F$6),AB149,0)+IF(AND('Your debts'!$F$11&lt;&gt;"",'Your debts'!$F$6&lt;&gt;"",'Your debts'!$F$11&lt;'Your debts'!$F$6),AG149,0)+IF(AND('Your debts'!$F$12&lt;&gt;"",'Your debts'!$F$6&lt;&gt;"",'Your debts'!$F$12&lt;'Your debts'!$F$6),AL149,0)+IF(AND('Your debts'!$F$13&lt;&gt;"",'Your debts'!$F$6&lt;&gt;"",'Your debts'!$F$13&lt;'Your debts'!$F$6),AQ149,0)+IF(AND('Your debts'!$F$14&lt;&gt;"",'Your debts'!$F$6&lt;&gt;"",'Your debts'!$F$14&lt;'Your debts'!$F$6),AV149,0)+IF(AND('Your debts'!$F$15&lt;&gt;"",'Your debts'!$F$6&lt;&gt;"",'Your debts'!$F$15&lt;'Your debts'!$F$6),BA149,0)))))</f>
        <v/>
      </c>
      <c r="J149" s="33">
        <f>H149-I149</f>
        <v/>
      </c>
      <c r="K149" s="33">
        <f>IF(O148&lt;=0,0,ROUND(O148*(1+'Your debts'!$D$7/1200),2))</f>
        <v/>
      </c>
      <c r="L149" s="33">
        <f>IF(K149&lt;=0,0,MIN('Your debts'!$E$7,K149))</f>
        <v/>
      </c>
      <c r="M149" s="33">
        <f>K149-L149</f>
        <v/>
      </c>
      <c r="N149" s="33">
        <f>IF('Your debts'!$F$7="",0,MIN(M149,MAX(0,MAX(0,'Your debts'!$C$19-(G149+L149+Q149+V149+AA149+AF149+AK149+AP149+AU149+AZ149))-(IF(AND('Your debts'!$F$6&lt;&gt;"",'Your debts'!$F$7&lt;&gt;"",'Your debts'!$F$6&lt;'Your debts'!$F$7),H149,0)+IF(AND('Your debts'!$F$8&lt;&gt;"",'Your debts'!$F$7&lt;&gt;"",'Your debts'!$F$8&lt;'Your debts'!$F$7),R149,0)+IF(AND('Your debts'!$F$9&lt;&gt;"",'Your debts'!$F$7&lt;&gt;"",'Your debts'!$F$9&lt;'Your debts'!$F$7),W149,0)+IF(AND('Your debts'!$F$10&lt;&gt;"",'Your debts'!$F$7&lt;&gt;"",'Your debts'!$F$10&lt;'Your debts'!$F$7),AB149,0)+IF(AND('Your debts'!$F$11&lt;&gt;"",'Your debts'!$F$7&lt;&gt;"",'Your debts'!$F$11&lt;'Your debts'!$F$7),AG149,0)+IF(AND('Your debts'!$F$12&lt;&gt;"",'Your debts'!$F$7&lt;&gt;"",'Your debts'!$F$12&lt;'Your debts'!$F$7),AL149,0)+IF(AND('Your debts'!$F$13&lt;&gt;"",'Your debts'!$F$7&lt;&gt;"",'Your debts'!$F$13&lt;'Your debts'!$F$7),AQ149,0)+IF(AND('Your debts'!$F$14&lt;&gt;"",'Your debts'!$F$7&lt;&gt;"",'Your debts'!$F$14&lt;'Your debts'!$F$7),AV149,0)+IF(AND('Your debts'!$F$15&lt;&gt;"",'Your debts'!$F$7&lt;&gt;"",'Your debts'!$F$15&lt;'Your debts'!$F$7),BA149,0)))))</f>
        <v/>
      </c>
      <c r="O149" s="33">
        <f>M149-N149</f>
        <v/>
      </c>
      <c r="P149" s="33">
        <f>IF(T148&lt;=0,0,ROUND(T148*(1+'Your debts'!$D$8/1200),2))</f>
        <v/>
      </c>
      <c r="Q149" s="33">
        <f>IF(P149&lt;=0,0,MIN('Your debts'!$E$8,P149))</f>
        <v/>
      </c>
      <c r="R149" s="33">
        <f>P149-Q149</f>
        <v/>
      </c>
      <c r="S149" s="33">
        <f>IF('Your debts'!$F$8="",0,MIN(R149,MAX(0,MAX(0,'Your debts'!$C$19-(G149+L149+Q149+V149+AA149+AF149+AK149+AP149+AU149+AZ149))-(IF(AND('Your debts'!$F$6&lt;&gt;"",'Your debts'!$F$8&lt;&gt;"",'Your debts'!$F$6&lt;'Your debts'!$F$8),H149,0)+IF(AND('Your debts'!$F$7&lt;&gt;"",'Your debts'!$F$8&lt;&gt;"",'Your debts'!$F$7&lt;'Your debts'!$F$8),M149,0)+IF(AND('Your debts'!$F$9&lt;&gt;"",'Your debts'!$F$8&lt;&gt;"",'Your debts'!$F$9&lt;'Your debts'!$F$8),W149,0)+IF(AND('Your debts'!$F$10&lt;&gt;"",'Your debts'!$F$8&lt;&gt;"",'Your debts'!$F$10&lt;'Your debts'!$F$8),AB149,0)+IF(AND('Your debts'!$F$11&lt;&gt;"",'Your debts'!$F$8&lt;&gt;"",'Your debts'!$F$11&lt;'Your debts'!$F$8),AG149,0)+IF(AND('Your debts'!$F$12&lt;&gt;"",'Your debts'!$F$8&lt;&gt;"",'Your debts'!$F$12&lt;'Your debts'!$F$8),AL149,0)+IF(AND('Your debts'!$F$13&lt;&gt;"",'Your debts'!$F$8&lt;&gt;"",'Your debts'!$F$13&lt;'Your debts'!$F$8),AQ149,0)+IF(AND('Your debts'!$F$14&lt;&gt;"",'Your debts'!$F$8&lt;&gt;"",'Your debts'!$F$14&lt;'Your debts'!$F$8),AV149,0)+IF(AND('Your debts'!$F$15&lt;&gt;"",'Your debts'!$F$8&lt;&gt;"",'Your debts'!$F$15&lt;'Your debts'!$F$8),BA149,0)))))</f>
        <v/>
      </c>
      <c r="T149" s="33">
        <f>R149-S149</f>
        <v/>
      </c>
      <c r="U149" s="33">
        <f>IF(Y148&lt;=0,0,ROUND(Y148*(1+'Your debts'!$D$9/1200),2))</f>
        <v/>
      </c>
      <c r="V149" s="33">
        <f>IF(U149&lt;=0,0,MIN('Your debts'!$E$9,U149))</f>
        <v/>
      </c>
      <c r="W149" s="33">
        <f>U149-V149</f>
        <v/>
      </c>
      <c r="X149" s="33">
        <f>IF('Your debts'!$F$9="",0,MIN(W149,MAX(0,MAX(0,'Your debts'!$C$19-(G149+L149+Q149+V149+AA149+AF149+AK149+AP149+AU149+AZ149))-(IF(AND('Your debts'!$F$6&lt;&gt;"",'Your debts'!$F$9&lt;&gt;"",'Your debts'!$F$6&lt;'Your debts'!$F$9),H149,0)+IF(AND('Your debts'!$F$7&lt;&gt;"",'Your debts'!$F$9&lt;&gt;"",'Your debts'!$F$7&lt;'Your debts'!$F$9),M149,0)+IF(AND('Your debts'!$F$8&lt;&gt;"",'Your debts'!$F$9&lt;&gt;"",'Your debts'!$F$8&lt;'Your debts'!$F$9),R149,0)+IF(AND('Your debts'!$F$10&lt;&gt;"",'Your debts'!$F$9&lt;&gt;"",'Your debts'!$F$10&lt;'Your debts'!$F$9),AB149,0)+IF(AND('Your debts'!$F$11&lt;&gt;"",'Your debts'!$F$9&lt;&gt;"",'Your debts'!$F$11&lt;'Your debts'!$F$9),AG149,0)+IF(AND('Your debts'!$F$12&lt;&gt;"",'Your debts'!$F$9&lt;&gt;"",'Your debts'!$F$12&lt;'Your debts'!$F$9),AL149,0)+IF(AND('Your debts'!$F$13&lt;&gt;"",'Your debts'!$F$9&lt;&gt;"",'Your debts'!$F$13&lt;'Your debts'!$F$9),AQ149,0)+IF(AND('Your debts'!$F$14&lt;&gt;"",'Your debts'!$F$9&lt;&gt;"",'Your debts'!$F$14&lt;'Your debts'!$F$9),AV149,0)+IF(AND('Your debts'!$F$15&lt;&gt;"",'Your debts'!$F$9&lt;&gt;"",'Your debts'!$F$15&lt;'Your debts'!$F$9),BA149,0)))))</f>
        <v/>
      </c>
      <c r="Y149" s="33">
        <f>W149-X149</f>
        <v/>
      </c>
      <c r="Z149" s="33">
        <f>IF(AD148&lt;=0,0,ROUND(AD148*(1+'Your debts'!$D$10/1200),2))</f>
        <v/>
      </c>
      <c r="AA149" s="33">
        <f>IF(Z149&lt;=0,0,MIN('Your debts'!$E$10,Z149))</f>
        <v/>
      </c>
      <c r="AB149" s="33">
        <f>Z149-AA149</f>
        <v/>
      </c>
      <c r="AC149" s="33">
        <f>IF('Your debts'!$F$10="",0,MIN(AB149,MAX(0,MAX(0,'Your debts'!$C$19-(G149+L149+Q149+V149+AA149+AF149+AK149+AP149+AU149+AZ149))-(IF(AND('Your debts'!$F$6&lt;&gt;"",'Your debts'!$F$10&lt;&gt;"",'Your debts'!$F$6&lt;'Your debts'!$F$10),H149,0)+IF(AND('Your debts'!$F$7&lt;&gt;"",'Your debts'!$F$10&lt;&gt;"",'Your debts'!$F$7&lt;'Your debts'!$F$10),M149,0)+IF(AND('Your debts'!$F$8&lt;&gt;"",'Your debts'!$F$10&lt;&gt;"",'Your debts'!$F$8&lt;'Your debts'!$F$10),R149,0)+IF(AND('Your debts'!$F$9&lt;&gt;"",'Your debts'!$F$10&lt;&gt;"",'Your debts'!$F$9&lt;'Your debts'!$F$10),W149,0)+IF(AND('Your debts'!$F$11&lt;&gt;"",'Your debts'!$F$10&lt;&gt;"",'Your debts'!$F$11&lt;'Your debts'!$F$10),AG149,0)+IF(AND('Your debts'!$F$12&lt;&gt;"",'Your debts'!$F$10&lt;&gt;"",'Your debts'!$F$12&lt;'Your debts'!$F$10),AL149,0)+IF(AND('Your debts'!$F$13&lt;&gt;"",'Your debts'!$F$10&lt;&gt;"",'Your debts'!$F$13&lt;'Your debts'!$F$10),AQ149,0)+IF(AND('Your debts'!$F$14&lt;&gt;"",'Your debts'!$F$10&lt;&gt;"",'Your debts'!$F$14&lt;'Your debts'!$F$10),AV149,0)+IF(AND('Your debts'!$F$15&lt;&gt;"",'Your debts'!$F$10&lt;&gt;"",'Your debts'!$F$15&lt;'Your debts'!$F$10),BA149,0)))))</f>
        <v/>
      </c>
      <c r="AD149" s="33">
        <f>AB149-AC149</f>
        <v/>
      </c>
      <c r="AE149" s="33">
        <f>IF(AI148&lt;=0,0,ROUND(AI148*(1+'Your debts'!$D$11/1200),2))</f>
        <v/>
      </c>
      <c r="AF149" s="33">
        <f>IF(AE149&lt;=0,0,MIN('Your debts'!$E$11,AE149))</f>
        <v/>
      </c>
      <c r="AG149" s="33">
        <f>AE149-AF149</f>
        <v/>
      </c>
      <c r="AH149" s="33">
        <f>IF('Your debts'!$F$11="",0,MIN(AG149,MAX(0,MAX(0,'Your debts'!$C$19-(G149+L149+Q149+V149+AA149+AF149+AK149+AP149+AU149+AZ149))-(IF(AND('Your debts'!$F$6&lt;&gt;"",'Your debts'!$F$11&lt;&gt;"",'Your debts'!$F$6&lt;'Your debts'!$F$11),H149,0)+IF(AND('Your debts'!$F$7&lt;&gt;"",'Your debts'!$F$11&lt;&gt;"",'Your debts'!$F$7&lt;'Your debts'!$F$11),M149,0)+IF(AND('Your debts'!$F$8&lt;&gt;"",'Your debts'!$F$11&lt;&gt;"",'Your debts'!$F$8&lt;'Your debts'!$F$11),R149,0)+IF(AND('Your debts'!$F$9&lt;&gt;"",'Your debts'!$F$11&lt;&gt;"",'Your debts'!$F$9&lt;'Your debts'!$F$11),W149,0)+IF(AND('Your debts'!$F$10&lt;&gt;"",'Your debts'!$F$11&lt;&gt;"",'Your debts'!$F$10&lt;'Your debts'!$F$11),AB149,0)+IF(AND('Your debts'!$F$12&lt;&gt;"",'Your debts'!$F$11&lt;&gt;"",'Your debts'!$F$12&lt;'Your debts'!$F$11),AL149,0)+IF(AND('Your debts'!$F$13&lt;&gt;"",'Your debts'!$F$11&lt;&gt;"",'Your debts'!$F$13&lt;'Your debts'!$F$11),AQ149,0)+IF(AND('Your debts'!$F$14&lt;&gt;"",'Your debts'!$F$11&lt;&gt;"",'Your debts'!$F$14&lt;'Your debts'!$F$11),AV149,0)+IF(AND('Your debts'!$F$15&lt;&gt;"",'Your debts'!$F$11&lt;&gt;"",'Your debts'!$F$15&lt;'Your debts'!$F$11),BA149,0)))))</f>
        <v/>
      </c>
      <c r="AI149" s="33">
        <f>AG149-AH149</f>
        <v/>
      </c>
      <c r="AJ149" s="33">
        <f>IF(AN148&lt;=0,0,ROUND(AN148*(1+'Your debts'!$D$12/1200),2))</f>
        <v/>
      </c>
      <c r="AK149" s="33">
        <f>IF(AJ149&lt;=0,0,MIN('Your debts'!$E$12,AJ149))</f>
        <v/>
      </c>
      <c r="AL149" s="33">
        <f>AJ149-AK149</f>
        <v/>
      </c>
      <c r="AM149" s="33">
        <f>IF('Your debts'!$F$12="",0,MIN(AL149,MAX(0,MAX(0,'Your debts'!$C$19-(G149+L149+Q149+V149+AA149+AF149+AK149+AP149+AU149+AZ149))-(IF(AND('Your debts'!$F$6&lt;&gt;"",'Your debts'!$F$12&lt;&gt;"",'Your debts'!$F$6&lt;'Your debts'!$F$12),H149,0)+IF(AND('Your debts'!$F$7&lt;&gt;"",'Your debts'!$F$12&lt;&gt;"",'Your debts'!$F$7&lt;'Your debts'!$F$12),M149,0)+IF(AND('Your debts'!$F$8&lt;&gt;"",'Your debts'!$F$12&lt;&gt;"",'Your debts'!$F$8&lt;'Your debts'!$F$12),R149,0)+IF(AND('Your debts'!$F$9&lt;&gt;"",'Your debts'!$F$12&lt;&gt;"",'Your debts'!$F$9&lt;'Your debts'!$F$12),W149,0)+IF(AND('Your debts'!$F$10&lt;&gt;"",'Your debts'!$F$12&lt;&gt;"",'Your debts'!$F$10&lt;'Your debts'!$F$12),AB149,0)+IF(AND('Your debts'!$F$11&lt;&gt;"",'Your debts'!$F$12&lt;&gt;"",'Your debts'!$F$11&lt;'Your debts'!$F$12),AG149,0)+IF(AND('Your debts'!$F$13&lt;&gt;"",'Your debts'!$F$12&lt;&gt;"",'Your debts'!$F$13&lt;'Your debts'!$F$12),AQ149,0)+IF(AND('Your debts'!$F$14&lt;&gt;"",'Your debts'!$F$12&lt;&gt;"",'Your debts'!$F$14&lt;'Your debts'!$F$12),AV149,0)+IF(AND('Your debts'!$F$15&lt;&gt;"",'Your debts'!$F$12&lt;&gt;"",'Your debts'!$F$15&lt;'Your debts'!$F$12),BA149,0)))))</f>
        <v/>
      </c>
      <c r="AN149" s="33">
        <f>AL149-AM149</f>
        <v/>
      </c>
      <c r="AO149" s="33">
        <f>IF(AS148&lt;=0,0,ROUND(AS148*(1+'Your debts'!$D$13/1200),2))</f>
        <v/>
      </c>
      <c r="AP149" s="33">
        <f>IF(AO149&lt;=0,0,MIN('Your debts'!$E$13,AO149))</f>
        <v/>
      </c>
      <c r="AQ149" s="33">
        <f>AO149-AP149</f>
        <v/>
      </c>
      <c r="AR149" s="33">
        <f>IF('Your debts'!$F$13="",0,MIN(AQ149,MAX(0,MAX(0,'Your debts'!$C$19-(G149+L149+Q149+V149+AA149+AF149+AK149+AP149+AU149+AZ149))-(IF(AND('Your debts'!$F$6&lt;&gt;"",'Your debts'!$F$13&lt;&gt;"",'Your debts'!$F$6&lt;'Your debts'!$F$13),H149,0)+IF(AND('Your debts'!$F$7&lt;&gt;"",'Your debts'!$F$13&lt;&gt;"",'Your debts'!$F$7&lt;'Your debts'!$F$13),M149,0)+IF(AND('Your debts'!$F$8&lt;&gt;"",'Your debts'!$F$13&lt;&gt;"",'Your debts'!$F$8&lt;'Your debts'!$F$13),R149,0)+IF(AND('Your debts'!$F$9&lt;&gt;"",'Your debts'!$F$13&lt;&gt;"",'Your debts'!$F$9&lt;'Your debts'!$F$13),W149,0)+IF(AND('Your debts'!$F$10&lt;&gt;"",'Your debts'!$F$13&lt;&gt;"",'Your debts'!$F$10&lt;'Your debts'!$F$13),AB149,0)+IF(AND('Your debts'!$F$11&lt;&gt;"",'Your debts'!$F$13&lt;&gt;"",'Your debts'!$F$11&lt;'Your debts'!$F$13),AG149,0)+IF(AND('Your debts'!$F$12&lt;&gt;"",'Your debts'!$F$13&lt;&gt;"",'Your debts'!$F$12&lt;'Your debts'!$F$13),AL149,0)+IF(AND('Your debts'!$F$14&lt;&gt;"",'Your debts'!$F$13&lt;&gt;"",'Your debts'!$F$14&lt;'Your debts'!$F$13),AV149,0)+IF(AND('Your debts'!$F$15&lt;&gt;"",'Your debts'!$F$13&lt;&gt;"",'Your debts'!$F$15&lt;'Your debts'!$F$13),BA149,0)))))</f>
        <v/>
      </c>
      <c r="AS149" s="33">
        <f>AQ149-AR149</f>
        <v/>
      </c>
      <c r="AT149" s="33">
        <f>IF(AX148&lt;=0,0,ROUND(AX148*(1+'Your debts'!$D$14/1200),2))</f>
        <v/>
      </c>
      <c r="AU149" s="33">
        <f>IF(AT149&lt;=0,0,MIN('Your debts'!$E$14,AT149))</f>
        <v/>
      </c>
      <c r="AV149" s="33">
        <f>AT149-AU149</f>
        <v/>
      </c>
      <c r="AW149" s="33">
        <f>IF('Your debts'!$F$14="",0,MIN(AV149,MAX(0,MAX(0,'Your debts'!$C$19-(G149+L149+Q149+V149+AA149+AF149+AK149+AP149+AU149+AZ149))-(IF(AND('Your debts'!$F$6&lt;&gt;"",'Your debts'!$F$14&lt;&gt;"",'Your debts'!$F$6&lt;'Your debts'!$F$14),H149,0)+IF(AND('Your debts'!$F$7&lt;&gt;"",'Your debts'!$F$14&lt;&gt;"",'Your debts'!$F$7&lt;'Your debts'!$F$14),M149,0)+IF(AND('Your debts'!$F$8&lt;&gt;"",'Your debts'!$F$14&lt;&gt;"",'Your debts'!$F$8&lt;'Your debts'!$F$14),R149,0)+IF(AND('Your debts'!$F$9&lt;&gt;"",'Your debts'!$F$14&lt;&gt;"",'Your debts'!$F$9&lt;'Your debts'!$F$14),W149,0)+IF(AND('Your debts'!$F$10&lt;&gt;"",'Your debts'!$F$14&lt;&gt;"",'Your debts'!$F$10&lt;'Your debts'!$F$14),AB149,0)+IF(AND('Your debts'!$F$11&lt;&gt;"",'Your debts'!$F$14&lt;&gt;"",'Your debts'!$F$11&lt;'Your debts'!$F$14),AG149,0)+IF(AND('Your debts'!$F$12&lt;&gt;"",'Your debts'!$F$14&lt;&gt;"",'Your debts'!$F$12&lt;'Your debts'!$F$14),AL149,0)+IF(AND('Your debts'!$F$13&lt;&gt;"",'Your debts'!$F$14&lt;&gt;"",'Your debts'!$F$13&lt;'Your debts'!$F$14),AQ149,0)+IF(AND('Your debts'!$F$15&lt;&gt;"",'Your debts'!$F$14&lt;&gt;"",'Your debts'!$F$15&lt;'Your debts'!$F$14),BA149,0)))))</f>
        <v/>
      </c>
      <c r="AX149" s="33">
        <f>AV149-AW149</f>
        <v/>
      </c>
      <c r="AY149" s="33">
        <f>IF(BC148&lt;=0,0,ROUND(BC148*(1+'Your debts'!$D$15/1200),2))</f>
        <v/>
      </c>
      <c r="AZ149" s="33">
        <f>IF(AY149&lt;=0,0,MIN('Your debts'!$E$15,AY149))</f>
        <v/>
      </c>
      <c r="BA149" s="33">
        <f>AY149-AZ149</f>
        <v/>
      </c>
      <c r="BB149" s="33">
        <f>IF('Your debts'!$F$15="",0,MIN(BA149,MAX(0,MAX(0,'Your debts'!$C$19-(G149+L149+Q149+V149+AA149+AF149+AK149+AP149+AU149+AZ149))-(IF(AND('Your debts'!$F$6&lt;&gt;"",'Your debts'!$F$15&lt;&gt;"",'Your debts'!$F$6&lt;'Your debts'!$F$15),H149,0)+IF(AND('Your debts'!$F$7&lt;&gt;"",'Your debts'!$F$15&lt;&gt;"",'Your debts'!$F$7&lt;'Your debts'!$F$15),M149,0)+IF(AND('Your debts'!$F$8&lt;&gt;"",'Your debts'!$F$15&lt;&gt;"",'Your debts'!$F$8&lt;'Your debts'!$F$15),R149,0)+IF(AND('Your debts'!$F$9&lt;&gt;"",'Your debts'!$F$15&lt;&gt;"",'Your debts'!$F$9&lt;'Your debts'!$F$15),W149,0)+IF(AND('Your debts'!$F$10&lt;&gt;"",'Your debts'!$F$15&lt;&gt;"",'Your debts'!$F$10&lt;'Your debts'!$F$15),AB149,0)+IF(AND('Your debts'!$F$11&lt;&gt;"",'Your debts'!$F$15&lt;&gt;"",'Your debts'!$F$11&lt;'Your debts'!$F$15),AG149,0)+IF(AND('Your debts'!$F$12&lt;&gt;"",'Your debts'!$F$15&lt;&gt;"",'Your debts'!$F$12&lt;'Your debts'!$F$15),AL149,0)+IF(AND('Your debts'!$F$13&lt;&gt;"",'Your debts'!$F$15&lt;&gt;"",'Your debts'!$F$13&lt;'Your debts'!$F$15),AQ149,0)+IF(AND('Your debts'!$F$14&lt;&gt;"",'Your debts'!$F$15&lt;&gt;"",'Your debts'!$F$14&lt;'Your debts'!$F$15),AV149,0)))))</f>
        <v/>
      </c>
      <c r="BC149" s="33">
        <f>BA149-BB149</f>
        <v/>
      </c>
    </row>
    <row r="150">
      <c r="A150" s="30" t="n">
        <v>135</v>
      </c>
      <c r="B150" s="31">
        <f>EDATE($B$15,135)</f>
        <v/>
      </c>
      <c r="C150" s="32">
        <f>IF(J149&lt;=0,0,F150-J149)+IF(O149&lt;=0,0,K150-O149)+IF(T149&lt;=0,0,P150-T149)+IF(Y149&lt;=0,0,U150-Y149)+IF(AD149&lt;=0,0,Z150-AD149)+IF(AI149&lt;=0,0,AE150-AI149)+IF(AN149&lt;=0,0,AJ150-AN149)+IF(AS149&lt;=0,0,AO150-AS149)+IF(AX149&lt;=0,0,AT150-AX149)+IF(BC149&lt;=0,0,AY150-BC149)</f>
        <v/>
      </c>
      <c r="D150" s="32">
        <f>G150+I150+L150+N150+Q150+S150+V150+X150+AA150+AC150+AF150+AH150+AK150+AM150+AP150+AR150+AU150+AW150+AZ150+BB150</f>
        <v/>
      </c>
      <c r="E150" s="32">
        <f>J150+O150+T150+Y150+AD150+AI150+AN150+AS150+AX150+BC150</f>
        <v/>
      </c>
      <c r="F150" s="33">
        <f>IF(J149&lt;=0,0,ROUND(J149*(1+'Your debts'!$D$6/1200),2))</f>
        <v/>
      </c>
      <c r="G150" s="33">
        <f>IF(F150&lt;=0,0,MIN('Your debts'!$E$6,F150))</f>
        <v/>
      </c>
      <c r="H150" s="33">
        <f>F150-G150</f>
        <v/>
      </c>
      <c r="I150" s="33">
        <f>IF('Your debts'!$F$6="",0,MIN(H150,MAX(0,MAX(0,'Your debts'!$C$19-(G150+L150+Q150+V150+AA150+AF150+AK150+AP150+AU150+AZ150))-(IF(AND('Your debts'!$F$7&lt;&gt;"",'Your debts'!$F$6&lt;&gt;"",'Your debts'!$F$7&lt;'Your debts'!$F$6),M150,0)+IF(AND('Your debts'!$F$8&lt;&gt;"",'Your debts'!$F$6&lt;&gt;"",'Your debts'!$F$8&lt;'Your debts'!$F$6),R150,0)+IF(AND('Your debts'!$F$9&lt;&gt;"",'Your debts'!$F$6&lt;&gt;"",'Your debts'!$F$9&lt;'Your debts'!$F$6),W150,0)+IF(AND('Your debts'!$F$10&lt;&gt;"",'Your debts'!$F$6&lt;&gt;"",'Your debts'!$F$10&lt;'Your debts'!$F$6),AB150,0)+IF(AND('Your debts'!$F$11&lt;&gt;"",'Your debts'!$F$6&lt;&gt;"",'Your debts'!$F$11&lt;'Your debts'!$F$6),AG150,0)+IF(AND('Your debts'!$F$12&lt;&gt;"",'Your debts'!$F$6&lt;&gt;"",'Your debts'!$F$12&lt;'Your debts'!$F$6),AL150,0)+IF(AND('Your debts'!$F$13&lt;&gt;"",'Your debts'!$F$6&lt;&gt;"",'Your debts'!$F$13&lt;'Your debts'!$F$6),AQ150,0)+IF(AND('Your debts'!$F$14&lt;&gt;"",'Your debts'!$F$6&lt;&gt;"",'Your debts'!$F$14&lt;'Your debts'!$F$6),AV150,0)+IF(AND('Your debts'!$F$15&lt;&gt;"",'Your debts'!$F$6&lt;&gt;"",'Your debts'!$F$15&lt;'Your debts'!$F$6),BA150,0)))))</f>
        <v/>
      </c>
      <c r="J150" s="33">
        <f>H150-I150</f>
        <v/>
      </c>
      <c r="K150" s="33">
        <f>IF(O149&lt;=0,0,ROUND(O149*(1+'Your debts'!$D$7/1200),2))</f>
        <v/>
      </c>
      <c r="L150" s="33">
        <f>IF(K150&lt;=0,0,MIN('Your debts'!$E$7,K150))</f>
        <v/>
      </c>
      <c r="M150" s="33">
        <f>K150-L150</f>
        <v/>
      </c>
      <c r="N150" s="33">
        <f>IF('Your debts'!$F$7="",0,MIN(M150,MAX(0,MAX(0,'Your debts'!$C$19-(G150+L150+Q150+V150+AA150+AF150+AK150+AP150+AU150+AZ150))-(IF(AND('Your debts'!$F$6&lt;&gt;"",'Your debts'!$F$7&lt;&gt;"",'Your debts'!$F$6&lt;'Your debts'!$F$7),H150,0)+IF(AND('Your debts'!$F$8&lt;&gt;"",'Your debts'!$F$7&lt;&gt;"",'Your debts'!$F$8&lt;'Your debts'!$F$7),R150,0)+IF(AND('Your debts'!$F$9&lt;&gt;"",'Your debts'!$F$7&lt;&gt;"",'Your debts'!$F$9&lt;'Your debts'!$F$7),W150,0)+IF(AND('Your debts'!$F$10&lt;&gt;"",'Your debts'!$F$7&lt;&gt;"",'Your debts'!$F$10&lt;'Your debts'!$F$7),AB150,0)+IF(AND('Your debts'!$F$11&lt;&gt;"",'Your debts'!$F$7&lt;&gt;"",'Your debts'!$F$11&lt;'Your debts'!$F$7),AG150,0)+IF(AND('Your debts'!$F$12&lt;&gt;"",'Your debts'!$F$7&lt;&gt;"",'Your debts'!$F$12&lt;'Your debts'!$F$7),AL150,0)+IF(AND('Your debts'!$F$13&lt;&gt;"",'Your debts'!$F$7&lt;&gt;"",'Your debts'!$F$13&lt;'Your debts'!$F$7),AQ150,0)+IF(AND('Your debts'!$F$14&lt;&gt;"",'Your debts'!$F$7&lt;&gt;"",'Your debts'!$F$14&lt;'Your debts'!$F$7),AV150,0)+IF(AND('Your debts'!$F$15&lt;&gt;"",'Your debts'!$F$7&lt;&gt;"",'Your debts'!$F$15&lt;'Your debts'!$F$7),BA150,0)))))</f>
        <v/>
      </c>
      <c r="O150" s="33">
        <f>M150-N150</f>
        <v/>
      </c>
      <c r="P150" s="33">
        <f>IF(T149&lt;=0,0,ROUND(T149*(1+'Your debts'!$D$8/1200),2))</f>
        <v/>
      </c>
      <c r="Q150" s="33">
        <f>IF(P150&lt;=0,0,MIN('Your debts'!$E$8,P150))</f>
        <v/>
      </c>
      <c r="R150" s="33">
        <f>P150-Q150</f>
        <v/>
      </c>
      <c r="S150" s="33">
        <f>IF('Your debts'!$F$8="",0,MIN(R150,MAX(0,MAX(0,'Your debts'!$C$19-(G150+L150+Q150+V150+AA150+AF150+AK150+AP150+AU150+AZ150))-(IF(AND('Your debts'!$F$6&lt;&gt;"",'Your debts'!$F$8&lt;&gt;"",'Your debts'!$F$6&lt;'Your debts'!$F$8),H150,0)+IF(AND('Your debts'!$F$7&lt;&gt;"",'Your debts'!$F$8&lt;&gt;"",'Your debts'!$F$7&lt;'Your debts'!$F$8),M150,0)+IF(AND('Your debts'!$F$9&lt;&gt;"",'Your debts'!$F$8&lt;&gt;"",'Your debts'!$F$9&lt;'Your debts'!$F$8),W150,0)+IF(AND('Your debts'!$F$10&lt;&gt;"",'Your debts'!$F$8&lt;&gt;"",'Your debts'!$F$10&lt;'Your debts'!$F$8),AB150,0)+IF(AND('Your debts'!$F$11&lt;&gt;"",'Your debts'!$F$8&lt;&gt;"",'Your debts'!$F$11&lt;'Your debts'!$F$8),AG150,0)+IF(AND('Your debts'!$F$12&lt;&gt;"",'Your debts'!$F$8&lt;&gt;"",'Your debts'!$F$12&lt;'Your debts'!$F$8),AL150,0)+IF(AND('Your debts'!$F$13&lt;&gt;"",'Your debts'!$F$8&lt;&gt;"",'Your debts'!$F$13&lt;'Your debts'!$F$8),AQ150,0)+IF(AND('Your debts'!$F$14&lt;&gt;"",'Your debts'!$F$8&lt;&gt;"",'Your debts'!$F$14&lt;'Your debts'!$F$8),AV150,0)+IF(AND('Your debts'!$F$15&lt;&gt;"",'Your debts'!$F$8&lt;&gt;"",'Your debts'!$F$15&lt;'Your debts'!$F$8),BA150,0)))))</f>
        <v/>
      </c>
      <c r="T150" s="33">
        <f>R150-S150</f>
        <v/>
      </c>
      <c r="U150" s="33">
        <f>IF(Y149&lt;=0,0,ROUND(Y149*(1+'Your debts'!$D$9/1200),2))</f>
        <v/>
      </c>
      <c r="V150" s="33">
        <f>IF(U150&lt;=0,0,MIN('Your debts'!$E$9,U150))</f>
        <v/>
      </c>
      <c r="W150" s="33">
        <f>U150-V150</f>
        <v/>
      </c>
      <c r="X150" s="33">
        <f>IF('Your debts'!$F$9="",0,MIN(W150,MAX(0,MAX(0,'Your debts'!$C$19-(G150+L150+Q150+V150+AA150+AF150+AK150+AP150+AU150+AZ150))-(IF(AND('Your debts'!$F$6&lt;&gt;"",'Your debts'!$F$9&lt;&gt;"",'Your debts'!$F$6&lt;'Your debts'!$F$9),H150,0)+IF(AND('Your debts'!$F$7&lt;&gt;"",'Your debts'!$F$9&lt;&gt;"",'Your debts'!$F$7&lt;'Your debts'!$F$9),M150,0)+IF(AND('Your debts'!$F$8&lt;&gt;"",'Your debts'!$F$9&lt;&gt;"",'Your debts'!$F$8&lt;'Your debts'!$F$9),R150,0)+IF(AND('Your debts'!$F$10&lt;&gt;"",'Your debts'!$F$9&lt;&gt;"",'Your debts'!$F$10&lt;'Your debts'!$F$9),AB150,0)+IF(AND('Your debts'!$F$11&lt;&gt;"",'Your debts'!$F$9&lt;&gt;"",'Your debts'!$F$11&lt;'Your debts'!$F$9),AG150,0)+IF(AND('Your debts'!$F$12&lt;&gt;"",'Your debts'!$F$9&lt;&gt;"",'Your debts'!$F$12&lt;'Your debts'!$F$9),AL150,0)+IF(AND('Your debts'!$F$13&lt;&gt;"",'Your debts'!$F$9&lt;&gt;"",'Your debts'!$F$13&lt;'Your debts'!$F$9),AQ150,0)+IF(AND('Your debts'!$F$14&lt;&gt;"",'Your debts'!$F$9&lt;&gt;"",'Your debts'!$F$14&lt;'Your debts'!$F$9),AV150,0)+IF(AND('Your debts'!$F$15&lt;&gt;"",'Your debts'!$F$9&lt;&gt;"",'Your debts'!$F$15&lt;'Your debts'!$F$9),BA150,0)))))</f>
        <v/>
      </c>
      <c r="Y150" s="33">
        <f>W150-X150</f>
        <v/>
      </c>
      <c r="Z150" s="33">
        <f>IF(AD149&lt;=0,0,ROUND(AD149*(1+'Your debts'!$D$10/1200),2))</f>
        <v/>
      </c>
      <c r="AA150" s="33">
        <f>IF(Z150&lt;=0,0,MIN('Your debts'!$E$10,Z150))</f>
        <v/>
      </c>
      <c r="AB150" s="33">
        <f>Z150-AA150</f>
        <v/>
      </c>
      <c r="AC150" s="33">
        <f>IF('Your debts'!$F$10="",0,MIN(AB150,MAX(0,MAX(0,'Your debts'!$C$19-(G150+L150+Q150+V150+AA150+AF150+AK150+AP150+AU150+AZ150))-(IF(AND('Your debts'!$F$6&lt;&gt;"",'Your debts'!$F$10&lt;&gt;"",'Your debts'!$F$6&lt;'Your debts'!$F$10),H150,0)+IF(AND('Your debts'!$F$7&lt;&gt;"",'Your debts'!$F$10&lt;&gt;"",'Your debts'!$F$7&lt;'Your debts'!$F$10),M150,0)+IF(AND('Your debts'!$F$8&lt;&gt;"",'Your debts'!$F$10&lt;&gt;"",'Your debts'!$F$8&lt;'Your debts'!$F$10),R150,0)+IF(AND('Your debts'!$F$9&lt;&gt;"",'Your debts'!$F$10&lt;&gt;"",'Your debts'!$F$9&lt;'Your debts'!$F$10),W150,0)+IF(AND('Your debts'!$F$11&lt;&gt;"",'Your debts'!$F$10&lt;&gt;"",'Your debts'!$F$11&lt;'Your debts'!$F$10),AG150,0)+IF(AND('Your debts'!$F$12&lt;&gt;"",'Your debts'!$F$10&lt;&gt;"",'Your debts'!$F$12&lt;'Your debts'!$F$10),AL150,0)+IF(AND('Your debts'!$F$13&lt;&gt;"",'Your debts'!$F$10&lt;&gt;"",'Your debts'!$F$13&lt;'Your debts'!$F$10),AQ150,0)+IF(AND('Your debts'!$F$14&lt;&gt;"",'Your debts'!$F$10&lt;&gt;"",'Your debts'!$F$14&lt;'Your debts'!$F$10),AV150,0)+IF(AND('Your debts'!$F$15&lt;&gt;"",'Your debts'!$F$10&lt;&gt;"",'Your debts'!$F$15&lt;'Your debts'!$F$10),BA150,0)))))</f>
        <v/>
      </c>
      <c r="AD150" s="33">
        <f>AB150-AC150</f>
        <v/>
      </c>
      <c r="AE150" s="33">
        <f>IF(AI149&lt;=0,0,ROUND(AI149*(1+'Your debts'!$D$11/1200),2))</f>
        <v/>
      </c>
      <c r="AF150" s="33">
        <f>IF(AE150&lt;=0,0,MIN('Your debts'!$E$11,AE150))</f>
        <v/>
      </c>
      <c r="AG150" s="33">
        <f>AE150-AF150</f>
        <v/>
      </c>
      <c r="AH150" s="33">
        <f>IF('Your debts'!$F$11="",0,MIN(AG150,MAX(0,MAX(0,'Your debts'!$C$19-(G150+L150+Q150+V150+AA150+AF150+AK150+AP150+AU150+AZ150))-(IF(AND('Your debts'!$F$6&lt;&gt;"",'Your debts'!$F$11&lt;&gt;"",'Your debts'!$F$6&lt;'Your debts'!$F$11),H150,0)+IF(AND('Your debts'!$F$7&lt;&gt;"",'Your debts'!$F$11&lt;&gt;"",'Your debts'!$F$7&lt;'Your debts'!$F$11),M150,0)+IF(AND('Your debts'!$F$8&lt;&gt;"",'Your debts'!$F$11&lt;&gt;"",'Your debts'!$F$8&lt;'Your debts'!$F$11),R150,0)+IF(AND('Your debts'!$F$9&lt;&gt;"",'Your debts'!$F$11&lt;&gt;"",'Your debts'!$F$9&lt;'Your debts'!$F$11),W150,0)+IF(AND('Your debts'!$F$10&lt;&gt;"",'Your debts'!$F$11&lt;&gt;"",'Your debts'!$F$10&lt;'Your debts'!$F$11),AB150,0)+IF(AND('Your debts'!$F$12&lt;&gt;"",'Your debts'!$F$11&lt;&gt;"",'Your debts'!$F$12&lt;'Your debts'!$F$11),AL150,0)+IF(AND('Your debts'!$F$13&lt;&gt;"",'Your debts'!$F$11&lt;&gt;"",'Your debts'!$F$13&lt;'Your debts'!$F$11),AQ150,0)+IF(AND('Your debts'!$F$14&lt;&gt;"",'Your debts'!$F$11&lt;&gt;"",'Your debts'!$F$14&lt;'Your debts'!$F$11),AV150,0)+IF(AND('Your debts'!$F$15&lt;&gt;"",'Your debts'!$F$11&lt;&gt;"",'Your debts'!$F$15&lt;'Your debts'!$F$11),BA150,0)))))</f>
        <v/>
      </c>
      <c r="AI150" s="33">
        <f>AG150-AH150</f>
        <v/>
      </c>
      <c r="AJ150" s="33">
        <f>IF(AN149&lt;=0,0,ROUND(AN149*(1+'Your debts'!$D$12/1200),2))</f>
        <v/>
      </c>
      <c r="AK150" s="33">
        <f>IF(AJ150&lt;=0,0,MIN('Your debts'!$E$12,AJ150))</f>
        <v/>
      </c>
      <c r="AL150" s="33">
        <f>AJ150-AK150</f>
        <v/>
      </c>
      <c r="AM150" s="33">
        <f>IF('Your debts'!$F$12="",0,MIN(AL150,MAX(0,MAX(0,'Your debts'!$C$19-(G150+L150+Q150+V150+AA150+AF150+AK150+AP150+AU150+AZ150))-(IF(AND('Your debts'!$F$6&lt;&gt;"",'Your debts'!$F$12&lt;&gt;"",'Your debts'!$F$6&lt;'Your debts'!$F$12),H150,0)+IF(AND('Your debts'!$F$7&lt;&gt;"",'Your debts'!$F$12&lt;&gt;"",'Your debts'!$F$7&lt;'Your debts'!$F$12),M150,0)+IF(AND('Your debts'!$F$8&lt;&gt;"",'Your debts'!$F$12&lt;&gt;"",'Your debts'!$F$8&lt;'Your debts'!$F$12),R150,0)+IF(AND('Your debts'!$F$9&lt;&gt;"",'Your debts'!$F$12&lt;&gt;"",'Your debts'!$F$9&lt;'Your debts'!$F$12),W150,0)+IF(AND('Your debts'!$F$10&lt;&gt;"",'Your debts'!$F$12&lt;&gt;"",'Your debts'!$F$10&lt;'Your debts'!$F$12),AB150,0)+IF(AND('Your debts'!$F$11&lt;&gt;"",'Your debts'!$F$12&lt;&gt;"",'Your debts'!$F$11&lt;'Your debts'!$F$12),AG150,0)+IF(AND('Your debts'!$F$13&lt;&gt;"",'Your debts'!$F$12&lt;&gt;"",'Your debts'!$F$13&lt;'Your debts'!$F$12),AQ150,0)+IF(AND('Your debts'!$F$14&lt;&gt;"",'Your debts'!$F$12&lt;&gt;"",'Your debts'!$F$14&lt;'Your debts'!$F$12),AV150,0)+IF(AND('Your debts'!$F$15&lt;&gt;"",'Your debts'!$F$12&lt;&gt;"",'Your debts'!$F$15&lt;'Your debts'!$F$12),BA150,0)))))</f>
        <v/>
      </c>
      <c r="AN150" s="33">
        <f>AL150-AM150</f>
        <v/>
      </c>
      <c r="AO150" s="33">
        <f>IF(AS149&lt;=0,0,ROUND(AS149*(1+'Your debts'!$D$13/1200),2))</f>
        <v/>
      </c>
      <c r="AP150" s="33">
        <f>IF(AO150&lt;=0,0,MIN('Your debts'!$E$13,AO150))</f>
        <v/>
      </c>
      <c r="AQ150" s="33">
        <f>AO150-AP150</f>
        <v/>
      </c>
      <c r="AR150" s="33">
        <f>IF('Your debts'!$F$13="",0,MIN(AQ150,MAX(0,MAX(0,'Your debts'!$C$19-(G150+L150+Q150+V150+AA150+AF150+AK150+AP150+AU150+AZ150))-(IF(AND('Your debts'!$F$6&lt;&gt;"",'Your debts'!$F$13&lt;&gt;"",'Your debts'!$F$6&lt;'Your debts'!$F$13),H150,0)+IF(AND('Your debts'!$F$7&lt;&gt;"",'Your debts'!$F$13&lt;&gt;"",'Your debts'!$F$7&lt;'Your debts'!$F$13),M150,0)+IF(AND('Your debts'!$F$8&lt;&gt;"",'Your debts'!$F$13&lt;&gt;"",'Your debts'!$F$8&lt;'Your debts'!$F$13),R150,0)+IF(AND('Your debts'!$F$9&lt;&gt;"",'Your debts'!$F$13&lt;&gt;"",'Your debts'!$F$9&lt;'Your debts'!$F$13),W150,0)+IF(AND('Your debts'!$F$10&lt;&gt;"",'Your debts'!$F$13&lt;&gt;"",'Your debts'!$F$10&lt;'Your debts'!$F$13),AB150,0)+IF(AND('Your debts'!$F$11&lt;&gt;"",'Your debts'!$F$13&lt;&gt;"",'Your debts'!$F$11&lt;'Your debts'!$F$13),AG150,0)+IF(AND('Your debts'!$F$12&lt;&gt;"",'Your debts'!$F$13&lt;&gt;"",'Your debts'!$F$12&lt;'Your debts'!$F$13),AL150,0)+IF(AND('Your debts'!$F$14&lt;&gt;"",'Your debts'!$F$13&lt;&gt;"",'Your debts'!$F$14&lt;'Your debts'!$F$13),AV150,0)+IF(AND('Your debts'!$F$15&lt;&gt;"",'Your debts'!$F$13&lt;&gt;"",'Your debts'!$F$15&lt;'Your debts'!$F$13),BA150,0)))))</f>
        <v/>
      </c>
      <c r="AS150" s="33">
        <f>AQ150-AR150</f>
        <v/>
      </c>
      <c r="AT150" s="33">
        <f>IF(AX149&lt;=0,0,ROUND(AX149*(1+'Your debts'!$D$14/1200),2))</f>
        <v/>
      </c>
      <c r="AU150" s="33">
        <f>IF(AT150&lt;=0,0,MIN('Your debts'!$E$14,AT150))</f>
        <v/>
      </c>
      <c r="AV150" s="33">
        <f>AT150-AU150</f>
        <v/>
      </c>
      <c r="AW150" s="33">
        <f>IF('Your debts'!$F$14="",0,MIN(AV150,MAX(0,MAX(0,'Your debts'!$C$19-(G150+L150+Q150+V150+AA150+AF150+AK150+AP150+AU150+AZ150))-(IF(AND('Your debts'!$F$6&lt;&gt;"",'Your debts'!$F$14&lt;&gt;"",'Your debts'!$F$6&lt;'Your debts'!$F$14),H150,0)+IF(AND('Your debts'!$F$7&lt;&gt;"",'Your debts'!$F$14&lt;&gt;"",'Your debts'!$F$7&lt;'Your debts'!$F$14),M150,0)+IF(AND('Your debts'!$F$8&lt;&gt;"",'Your debts'!$F$14&lt;&gt;"",'Your debts'!$F$8&lt;'Your debts'!$F$14),R150,0)+IF(AND('Your debts'!$F$9&lt;&gt;"",'Your debts'!$F$14&lt;&gt;"",'Your debts'!$F$9&lt;'Your debts'!$F$14),W150,0)+IF(AND('Your debts'!$F$10&lt;&gt;"",'Your debts'!$F$14&lt;&gt;"",'Your debts'!$F$10&lt;'Your debts'!$F$14),AB150,0)+IF(AND('Your debts'!$F$11&lt;&gt;"",'Your debts'!$F$14&lt;&gt;"",'Your debts'!$F$11&lt;'Your debts'!$F$14),AG150,0)+IF(AND('Your debts'!$F$12&lt;&gt;"",'Your debts'!$F$14&lt;&gt;"",'Your debts'!$F$12&lt;'Your debts'!$F$14),AL150,0)+IF(AND('Your debts'!$F$13&lt;&gt;"",'Your debts'!$F$14&lt;&gt;"",'Your debts'!$F$13&lt;'Your debts'!$F$14),AQ150,0)+IF(AND('Your debts'!$F$15&lt;&gt;"",'Your debts'!$F$14&lt;&gt;"",'Your debts'!$F$15&lt;'Your debts'!$F$14),BA150,0)))))</f>
        <v/>
      </c>
      <c r="AX150" s="33">
        <f>AV150-AW150</f>
        <v/>
      </c>
      <c r="AY150" s="33">
        <f>IF(BC149&lt;=0,0,ROUND(BC149*(1+'Your debts'!$D$15/1200),2))</f>
        <v/>
      </c>
      <c r="AZ150" s="33">
        <f>IF(AY150&lt;=0,0,MIN('Your debts'!$E$15,AY150))</f>
        <v/>
      </c>
      <c r="BA150" s="33">
        <f>AY150-AZ150</f>
        <v/>
      </c>
      <c r="BB150" s="33">
        <f>IF('Your debts'!$F$15="",0,MIN(BA150,MAX(0,MAX(0,'Your debts'!$C$19-(G150+L150+Q150+V150+AA150+AF150+AK150+AP150+AU150+AZ150))-(IF(AND('Your debts'!$F$6&lt;&gt;"",'Your debts'!$F$15&lt;&gt;"",'Your debts'!$F$6&lt;'Your debts'!$F$15),H150,0)+IF(AND('Your debts'!$F$7&lt;&gt;"",'Your debts'!$F$15&lt;&gt;"",'Your debts'!$F$7&lt;'Your debts'!$F$15),M150,0)+IF(AND('Your debts'!$F$8&lt;&gt;"",'Your debts'!$F$15&lt;&gt;"",'Your debts'!$F$8&lt;'Your debts'!$F$15),R150,0)+IF(AND('Your debts'!$F$9&lt;&gt;"",'Your debts'!$F$15&lt;&gt;"",'Your debts'!$F$9&lt;'Your debts'!$F$15),W150,0)+IF(AND('Your debts'!$F$10&lt;&gt;"",'Your debts'!$F$15&lt;&gt;"",'Your debts'!$F$10&lt;'Your debts'!$F$15),AB150,0)+IF(AND('Your debts'!$F$11&lt;&gt;"",'Your debts'!$F$15&lt;&gt;"",'Your debts'!$F$11&lt;'Your debts'!$F$15),AG150,0)+IF(AND('Your debts'!$F$12&lt;&gt;"",'Your debts'!$F$15&lt;&gt;"",'Your debts'!$F$12&lt;'Your debts'!$F$15),AL150,0)+IF(AND('Your debts'!$F$13&lt;&gt;"",'Your debts'!$F$15&lt;&gt;"",'Your debts'!$F$13&lt;'Your debts'!$F$15),AQ150,0)+IF(AND('Your debts'!$F$14&lt;&gt;"",'Your debts'!$F$15&lt;&gt;"",'Your debts'!$F$14&lt;'Your debts'!$F$15),AV150,0)))))</f>
        <v/>
      </c>
      <c r="BC150" s="33">
        <f>BA150-BB150</f>
        <v/>
      </c>
    </row>
    <row r="151">
      <c r="A151" s="30" t="n">
        <v>136</v>
      </c>
      <c r="B151" s="31">
        <f>EDATE($B$15,136)</f>
        <v/>
      </c>
      <c r="C151" s="32">
        <f>IF(J150&lt;=0,0,F151-J150)+IF(O150&lt;=0,0,K151-O150)+IF(T150&lt;=0,0,P151-T150)+IF(Y150&lt;=0,0,U151-Y150)+IF(AD150&lt;=0,0,Z151-AD150)+IF(AI150&lt;=0,0,AE151-AI150)+IF(AN150&lt;=0,0,AJ151-AN150)+IF(AS150&lt;=0,0,AO151-AS150)+IF(AX150&lt;=0,0,AT151-AX150)+IF(BC150&lt;=0,0,AY151-BC150)</f>
        <v/>
      </c>
      <c r="D151" s="32">
        <f>G151+I151+L151+N151+Q151+S151+V151+X151+AA151+AC151+AF151+AH151+AK151+AM151+AP151+AR151+AU151+AW151+AZ151+BB151</f>
        <v/>
      </c>
      <c r="E151" s="32">
        <f>J151+O151+T151+Y151+AD151+AI151+AN151+AS151+AX151+BC151</f>
        <v/>
      </c>
      <c r="F151" s="33">
        <f>IF(J150&lt;=0,0,ROUND(J150*(1+'Your debts'!$D$6/1200),2))</f>
        <v/>
      </c>
      <c r="G151" s="33">
        <f>IF(F151&lt;=0,0,MIN('Your debts'!$E$6,F151))</f>
        <v/>
      </c>
      <c r="H151" s="33">
        <f>F151-G151</f>
        <v/>
      </c>
      <c r="I151" s="33">
        <f>IF('Your debts'!$F$6="",0,MIN(H151,MAX(0,MAX(0,'Your debts'!$C$19-(G151+L151+Q151+V151+AA151+AF151+AK151+AP151+AU151+AZ151))-(IF(AND('Your debts'!$F$7&lt;&gt;"",'Your debts'!$F$6&lt;&gt;"",'Your debts'!$F$7&lt;'Your debts'!$F$6),M151,0)+IF(AND('Your debts'!$F$8&lt;&gt;"",'Your debts'!$F$6&lt;&gt;"",'Your debts'!$F$8&lt;'Your debts'!$F$6),R151,0)+IF(AND('Your debts'!$F$9&lt;&gt;"",'Your debts'!$F$6&lt;&gt;"",'Your debts'!$F$9&lt;'Your debts'!$F$6),W151,0)+IF(AND('Your debts'!$F$10&lt;&gt;"",'Your debts'!$F$6&lt;&gt;"",'Your debts'!$F$10&lt;'Your debts'!$F$6),AB151,0)+IF(AND('Your debts'!$F$11&lt;&gt;"",'Your debts'!$F$6&lt;&gt;"",'Your debts'!$F$11&lt;'Your debts'!$F$6),AG151,0)+IF(AND('Your debts'!$F$12&lt;&gt;"",'Your debts'!$F$6&lt;&gt;"",'Your debts'!$F$12&lt;'Your debts'!$F$6),AL151,0)+IF(AND('Your debts'!$F$13&lt;&gt;"",'Your debts'!$F$6&lt;&gt;"",'Your debts'!$F$13&lt;'Your debts'!$F$6),AQ151,0)+IF(AND('Your debts'!$F$14&lt;&gt;"",'Your debts'!$F$6&lt;&gt;"",'Your debts'!$F$14&lt;'Your debts'!$F$6),AV151,0)+IF(AND('Your debts'!$F$15&lt;&gt;"",'Your debts'!$F$6&lt;&gt;"",'Your debts'!$F$15&lt;'Your debts'!$F$6),BA151,0)))))</f>
        <v/>
      </c>
      <c r="J151" s="33">
        <f>H151-I151</f>
        <v/>
      </c>
      <c r="K151" s="33">
        <f>IF(O150&lt;=0,0,ROUND(O150*(1+'Your debts'!$D$7/1200),2))</f>
        <v/>
      </c>
      <c r="L151" s="33">
        <f>IF(K151&lt;=0,0,MIN('Your debts'!$E$7,K151))</f>
        <v/>
      </c>
      <c r="M151" s="33">
        <f>K151-L151</f>
        <v/>
      </c>
      <c r="N151" s="33">
        <f>IF('Your debts'!$F$7="",0,MIN(M151,MAX(0,MAX(0,'Your debts'!$C$19-(G151+L151+Q151+V151+AA151+AF151+AK151+AP151+AU151+AZ151))-(IF(AND('Your debts'!$F$6&lt;&gt;"",'Your debts'!$F$7&lt;&gt;"",'Your debts'!$F$6&lt;'Your debts'!$F$7),H151,0)+IF(AND('Your debts'!$F$8&lt;&gt;"",'Your debts'!$F$7&lt;&gt;"",'Your debts'!$F$8&lt;'Your debts'!$F$7),R151,0)+IF(AND('Your debts'!$F$9&lt;&gt;"",'Your debts'!$F$7&lt;&gt;"",'Your debts'!$F$9&lt;'Your debts'!$F$7),W151,0)+IF(AND('Your debts'!$F$10&lt;&gt;"",'Your debts'!$F$7&lt;&gt;"",'Your debts'!$F$10&lt;'Your debts'!$F$7),AB151,0)+IF(AND('Your debts'!$F$11&lt;&gt;"",'Your debts'!$F$7&lt;&gt;"",'Your debts'!$F$11&lt;'Your debts'!$F$7),AG151,0)+IF(AND('Your debts'!$F$12&lt;&gt;"",'Your debts'!$F$7&lt;&gt;"",'Your debts'!$F$12&lt;'Your debts'!$F$7),AL151,0)+IF(AND('Your debts'!$F$13&lt;&gt;"",'Your debts'!$F$7&lt;&gt;"",'Your debts'!$F$13&lt;'Your debts'!$F$7),AQ151,0)+IF(AND('Your debts'!$F$14&lt;&gt;"",'Your debts'!$F$7&lt;&gt;"",'Your debts'!$F$14&lt;'Your debts'!$F$7),AV151,0)+IF(AND('Your debts'!$F$15&lt;&gt;"",'Your debts'!$F$7&lt;&gt;"",'Your debts'!$F$15&lt;'Your debts'!$F$7),BA151,0)))))</f>
        <v/>
      </c>
      <c r="O151" s="33">
        <f>M151-N151</f>
        <v/>
      </c>
      <c r="P151" s="33">
        <f>IF(T150&lt;=0,0,ROUND(T150*(1+'Your debts'!$D$8/1200),2))</f>
        <v/>
      </c>
      <c r="Q151" s="33">
        <f>IF(P151&lt;=0,0,MIN('Your debts'!$E$8,P151))</f>
        <v/>
      </c>
      <c r="R151" s="33">
        <f>P151-Q151</f>
        <v/>
      </c>
      <c r="S151" s="33">
        <f>IF('Your debts'!$F$8="",0,MIN(R151,MAX(0,MAX(0,'Your debts'!$C$19-(G151+L151+Q151+V151+AA151+AF151+AK151+AP151+AU151+AZ151))-(IF(AND('Your debts'!$F$6&lt;&gt;"",'Your debts'!$F$8&lt;&gt;"",'Your debts'!$F$6&lt;'Your debts'!$F$8),H151,0)+IF(AND('Your debts'!$F$7&lt;&gt;"",'Your debts'!$F$8&lt;&gt;"",'Your debts'!$F$7&lt;'Your debts'!$F$8),M151,0)+IF(AND('Your debts'!$F$9&lt;&gt;"",'Your debts'!$F$8&lt;&gt;"",'Your debts'!$F$9&lt;'Your debts'!$F$8),W151,0)+IF(AND('Your debts'!$F$10&lt;&gt;"",'Your debts'!$F$8&lt;&gt;"",'Your debts'!$F$10&lt;'Your debts'!$F$8),AB151,0)+IF(AND('Your debts'!$F$11&lt;&gt;"",'Your debts'!$F$8&lt;&gt;"",'Your debts'!$F$11&lt;'Your debts'!$F$8),AG151,0)+IF(AND('Your debts'!$F$12&lt;&gt;"",'Your debts'!$F$8&lt;&gt;"",'Your debts'!$F$12&lt;'Your debts'!$F$8),AL151,0)+IF(AND('Your debts'!$F$13&lt;&gt;"",'Your debts'!$F$8&lt;&gt;"",'Your debts'!$F$13&lt;'Your debts'!$F$8),AQ151,0)+IF(AND('Your debts'!$F$14&lt;&gt;"",'Your debts'!$F$8&lt;&gt;"",'Your debts'!$F$14&lt;'Your debts'!$F$8),AV151,0)+IF(AND('Your debts'!$F$15&lt;&gt;"",'Your debts'!$F$8&lt;&gt;"",'Your debts'!$F$15&lt;'Your debts'!$F$8),BA151,0)))))</f>
        <v/>
      </c>
      <c r="T151" s="33">
        <f>R151-S151</f>
        <v/>
      </c>
      <c r="U151" s="33">
        <f>IF(Y150&lt;=0,0,ROUND(Y150*(1+'Your debts'!$D$9/1200),2))</f>
        <v/>
      </c>
      <c r="V151" s="33">
        <f>IF(U151&lt;=0,0,MIN('Your debts'!$E$9,U151))</f>
        <v/>
      </c>
      <c r="W151" s="33">
        <f>U151-V151</f>
        <v/>
      </c>
      <c r="X151" s="33">
        <f>IF('Your debts'!$F$9="",0,MIN(W151,MAX(0,MAX(0,'Your debts'!$C$19-(G151+L151+Q151+V151+AA151+AF151+AK151+AP151+AU151+AZ151))-(IF(AND('Your debts'!$F$6&lt;&gt;"",'Your debts'!$F$9&lt;&gt;"",'Your debts'!$F$6&lt;'Your debts'!$F$9),H151,0)+IF(AND('Your debts'!$F$7&lt;&gt;"",'Your debts'!$F$9&lt;&gt;"",'Your debts'!$F$7&lt;'Your debts'!$F$9),M151,0)+IF(AND('Your debts'!$F$8&lt;&gt;"",'Your debts'!$F$9&lt;&gt;"",'Your debts'!$F$8&lt;'Your debts'!$F$9),R151,0)+IF(AND('Your debts'!$F$10&lt;&gt;"",'Your debts'!$F$9&lt;&gt;"",'Your debts'!$F$10&lt;'Your debts'!$F$9),AB151,0)+IF(AND('Your debts'!$F$11&lt;&gt;"",'Your debts'!$F$9&lt;&gt;"",'Your debts'!$F$11&lt;'Your debts'!$F$9),AG151,0)+IF(AND('Your debts'!$F$12&lt;&gt;"",'Your debts'!$F$9&lt;&gt;"",'Your debts'!$F$12&lt;'Your debts'!$F$9),AL151,0)+IF(AND('Your debts'!$F$13&lt;&gt;"",'Your debts'!$F$9&lt;&gt;"",'Your debts'!$F$13&lt;'Your debts'!$F$9),AQ151,0)+IF(AND('Your debts'!$F$14&lt;&gt;"",'Your debts'!$F$9&lt;&gt;"",'Your debts'!$F$14&lt;'Your debts'!$F$9),AV151,0)+IF(AND('Your debts'!$F$15&lt;&gt;"",'Your debts'!$F$9&lt;&gt;"",'Your debts'!$F$15&lt;'Your debts'!$F$9),BA151,0)))))</f>
        <v/>
      </c>
      <c r="Y151" s="33">
        <f>W151-X151</f>
        <v/>
      </c>
      <c r="Z151" s="33">
        <f>IF(AD150&lt;=0,0,ROUND(AD150*(1+'Your debts'!$D$10/1200),2))</f>
        <v/>
      </c>
      <c r="AA151" s="33">
        <f>IF(Z151&lt;=0,0,MIN('Your debts'!$E$10,Z151))</f>
        <v/>
      </c>
      <c r="AB151" s="33">
        <f>Z151-AA151</f>
        <v/>
      </c>
      <c r="AC151" s="33">
        <f>IF('Your debts'!$F$10="",0,MIN(AB151,MAX(0,MAX(0,'Your debts'!$C$19-(G151+L151+Q151+V151+AA151+AF151+AK151+AP151+AU151+AZ151))-(IF(AND('Your debts'!$F$6&lt;&gt;"",'Your debts'!$F$10&lt;&gt;"",'Your debts'!$F$6&lt;'Your debts'!$F$10),H151,0)+IF(AND('Your debts'!$F$7&lt;&gt;"",'Your debts'!$F$10&lt;&gt;"",'Your debts'!$F$7&lt;'Your debts'!$F$10),M151,0)+IF(AND('Your debts'!$F$8&lt;&gt;"",'Your debts'!$F$10&lt;&gt;"",'Your debts'!$F$8&lt;'Your debts'!$F$10),R151,0)+IF(AND('Your debts'!$F$9&lt;&gt;"",'Your debts'!$F$10&lt;&gt;"",'Your debts'!$F$9&lt;'Your debts'!$F$10),W151,0)+IF(AND('Your debts'!$F$11&lt;&gt;"",'Your debts'!$F$10&lt;&gt;"",'Your debts'!$F$11&lt;'Your debts'!$F$10),AG151,0)+IF(AND('Your debts'!$F$12&lt;&gt;"",'Your debts'!$F$10&lt;&gt;"",'Your debts'!$F$12&lt;'Your debts'!$F$10),AL151,0)+IF(AND('Your debts'!$F$13&lt;&gt;"",'Your debts'!$F$10&lt;&gt;"",'Your debts'!$F$13&lt;'Your debts'!$F$10),AQ151,0)+IF(AND('Your debts'!$F$14&lt;&gt;"",'Your debts'!$F$10&lt;&gt;"",'Your debts'!$F$14&lt;'Your debts'!$F$10),AV151,0)+IF(AND('Your debts'!$F$15&lt;&gt;"",'Your debts'!$F$10&lt;&gt;"",'Your debts'!$F$15&lt;'Your debts'!$F$10),BA151,0)))))</f>
        <v/>
      </c>
      <c r="AD151" s="33">
        <f>AB151-AC151</f>
        <v/>
      </c>
      <c r="AE151" s="33">
        <f>IF(AI150&lt;=0,0,ROUND(AI150*(1+'Your debts'!$D$11/1200),2))</f>
        <v/>
      </c>
      <c r="AF151" s="33">
        <f>IF(AE151&lt;=0,0,MIN('Your debts'!$E$11,AE151))</f>
        <v/>
      </c>
      <c r="AG151" s="33">
        <f>AE151-AF151</f>
        <v/>
      </c>
      <c r="AH151" s="33">
        <f>IF('Your debts'!$F$11="",0,MIN(AG151,MAX(0,MAX(0,'Your debts'!$C$19-(G151+L151+Q151+V151+AA151+AF151+AK151+AP151+AU151+AZ151))-(IF(AND('Your debts'!$F$6&lt;&gt;"",'Your debts'!$F$11&lt;&gt;"",'Your debts'!$F$6&lt;'Your debts'!$F$11),H151,0)+IF(AND('Your debts'!$F$7&lt;&gt;"",'Your debts'!$F$11&lt;&gt;"",'Your debts'!$F$7&lt;'Your debts'!$F$11),M151,0)+IF(AND('Your debts'!$F$8&lt;&gt;"",'Your debts'!$F$11&lt;&gt;"",'Your debts'!$F$8&lt;'Your debts'!$F$11),R151,0)+IF(AND('Your debts'!$F$9&lt;&gt;"",'Your debts'!$F$11&lt;&gt;"",'Your debts'!$F$9&lt;'Your debts'!$F$11),W151,0)+IF(AND('Your debts'!$F$10&lt;&gt;"",'Your debts'!$F$11&lt;&gt;"",'Your debts'!$F$10&lt;'Your debts'!$F$11),AB151,0)+IF(AND('Your debts'!$F$12&lt;&gt;"",'Your debts'!$F$11&lt;&gt;"",'Your debts'!$F$12&lt;'Your debts'!$F$11),AL151,0)+IF(AND('Your debts'!$F$13&lt;&gt;"",'Your debts'!$F$11&lt;&gt;"",'Your debts'!$F$13&lt;'Your debts'!$F$11),AQ151,0)+IF(AND('Your debts'!$F$14&lt;&gt;"",'Your debts'!$F$11&lt;&gt;"",'Your debts'!$F$14&lt;'Your debts'!$F$11),AV151,0)+IF(AND('Your debts'!$F$15&lt;&gt;"",'Your debts'!$F$11&lt;&gt;"",'Your debts'!$F$15&lt;'Your debts'!$F$11),BA151,0)))))</f>
        <v/>
      </c>
      <c r="AI151" s="33">
        <f>AG151-AH151</f>
        <v/>
      </c>
      <c r="AJ151" s="33">
        <f>IF(AN150&lt;=0,0,ROUND(AN150*(1+'Your debts'!$D$12/1200),2))</f>
        <v/>
      </c>
      <c r="AK151" s="33">
        <f>IF(AJ151&lt;=0,0,MIN('Your debts'!$E$12,AJ151))</f>
        <v/>
      </c>
      <c r="AL151" s="33">
        <f>AJ151-AK151</f>
        <v/>
      </c>
      <c r="AM151" s="33">
        <f>IF('Your debts'!$F$12="",0,MIN(AL151,MAX(0,MAX(0,'Your debts'!$C$19-(G151+L151+Q151+V151+AA151+AF151+AK151+AP151+AU151+AZ151))-(IF(AND('Your debts'!$F$6&lt;&gt;"",'Your debts'!$F$12&lt;&gt;"",'Your debts'!$F$6&lt;'Your debts'!$F$12),H151,0)+IF(AND('Your debts'!$F$7&lt;&gt;"",'Your debts'!$F$12&lt;&gt;"",'Your debts'!$F$7&lt;'Your debts'!$F$12),M151,0)+IF(AND('Your debts'!$F$8&lt;&gt;"",'Your debts'!$F$12&lt;&gt;"",'Your debts'!$F$8&lt;'Your debts'!$F$12),R151,0)+IF(AND('Your debts'!$F$9&lt;&gt;"",'Your debts'!$F$12&lt;&gt;"",'Your debts'!$F$9&lt;'Your debts'!$F$12),W151,0)+IF(AND('Your debts'!$F$10&lt;&gt;"",'Your debts'!$F$12&lt;&gt;"",'Your debts'!$F$10&lt;'Your debts'!$F$12),AB151,0)+IF(AND('Your debts'!$F$11&lt;&gt;"",'Your debts'!$F$12&lt;&gt;"",'Your debts'!$F$11&lt;'Your debts'!$F$12),AG151,0)+IF(AND('Your debts'!$F$13&lt;&gt;"",'Your debts'!$F$12&lt;&gt;"",'Your debts'!$F$13&lt;'Your debts'!$F$12),AQ151,0)+IF(AND('Your debts'!$F$14&lt;&gt;"",'Your debts'!$F$12&lt;&gt;"",'Your debts'!$F$14&lt;'Your debts'!$F$12),AV151,0)+IF(AND('Your debts'!$F$15&lt;&gt;"",'Your debts'!$F$12&lt;&gt;"",'Your debts'!$F$15&lt;'Your debts'!$F$12),BA151,0)))))</f>
        <v/>
      </c>
      <c r="AN151" s="33">
        <f>AL151-AM151</f>
        <v/>
      </c>
      <c r="AO151" s="33">
        <f>IF(AS150&lt;=0,0,ROUND(AS150*(1+'Your debts'!$D$13/1200),2))</f>
        <v/>
      </c>
      <c r="AP151" s="33">
        <f>IF(AO151&lt;=0,0,MIN('Your debts'!$E$13,AO151))</f>
        <v/>
      </c>
      <c r="AQ151" s="33">
        <f>AO151-AP151</f>
        <v/>
      </c>
      <c r="AR151" s="33">
        <f>IF('Your debts'!$F$13="",0,MIN(AQ151,MAX(0,MAX(0,'Your debts'!$C$19-(G151+L151+Q151+V151+AA151+AF151+AK151+AP151+AU151+AZ151))-(IF(AND('Your debts'!$F$6&lt;&gt;"",'Your debts'!$F$13&lt;&gt;"",'Your debts'!$F$6&lt;'Your debts'!$F$13),H151,0)+IF(AND('Your debts'!$F$7&lt;&gt;"",'Your debts'!$F$13&lt;&gt;"",'Your debts'!$F$7&lt;'Your debts'!$F$13),M151,0)+IF(AND('Your debts'!$F$8&lt;&gt;"",'Your debts'!$F$13&lt;&gt;"",'Your debts'!$F$8&lt;'Your debts'!$F$13),R151,0)+IF(AND('Your debts'!$F$9&lt;&gt;"",'Your debts'!$F$13&lt;&gt;"",'Your debts'!$F$9&lt;'Your debts'!$F$13),W151,0)+IF(AND('Your debts'!$F$10&lt;&gt;"",'Your debts'!$F$13&lt;&gt;"",'Your debts'!$F$10&lt;'Your debts'!$F$13),AB151,0)+IF(AND('Your debts'!$F$11&lt;&gt;"",'Your debts'!$F$13&lt;&gt;"",'Your debts'!$F$11&lt;'Your debts'!$F$13),AG151,0)+IF(AND('Your debts'!$F$12&lt;&gt;"",'Your debts'!$F$13&lt;&gt;"",'Your debts'!$F$12&lt;'Your debts'!$F$13),AL151,0)+IF(AND('Your debts'!$F$14&lt;&gt;"",'Your debts'!$F$13&lt;&gt;"",'Your debts'!$F$14&lt;'Your debts'!$F$13),AV151,0)+IF(AND('Your debts'!$F$15&lt;&gt;"",'Your debts'!$F$13&lt;&gt;"",'Your debts'!$F$15&lt;'Your debts'!$F$13),BA151,0)))))</f>
        <v/>
      </c>
      <c r="AS151" s="33">
        <f>AQ151-AR151</f>
        <v/>
      </c>
      <c r="AT151" s="33">
        <f>IF(AX150&lt;=0,0,ROUND(AX150*(1+'Your debts'!$D$14/1200),2))</f>
        <v/>
      </c>
      <c r="AU151" s="33">
        <f>IF(AT151&lt;=0,0,MIN('Your debts'!$E$14,AT151))</f>
        <v/>
      </c>
      <c r="AV151" s="33">
        <f>AT151-AU151</f>
        <v/>
      </c>
      <c r="AW151" s="33">
        <f>IF('Your debts'!$F$14="",0,MIN(AV151,MAX(0,MAX(0,'Your debts'!$C$19-(G151+L151+Q151+V151+AA151+AF151+AK151+AP151+AU151+AZ151))-(IF(AND('Your debts'!$F$6&lt;&gt;"",'Your debts'!$F$14&lt;&gt;"",'Your debts'!$F$6&lt;'Your debts'!$F$14),H151,0)+IF(AND('Your debts'!$F$7&lt;&gt;"",'Your debts'!$F$14&lt;&gt;"",'Your debts'!$F$7&lt;'Your debts'!$F$14),M151,0)+IF(AND('Your debts'!$F$8&lt;&gt;"",'Your debts'!$F$14&lt;&gt;"",'Your debts'!$F$8&lt;'Your debts'!$F$14),R151,0)+IF(AND('Your debts'!$F$9&lt;&gt;"",'Your debts'!$F$14&lt;&gt;"",'Your debts'!$F$9&lt;'Your debts'!$F$14),W151,0)+IF(AND('Your debts'!$F$10&lt;&gt;"",'Your debts'!$F$14&lt;&gt;"",'Your debts'!$F$10&lt;'Your debts'!$F$14),AB151,0)+IF(AND('Your debts'!$F$11&lt;&gt;"",'Your debts'!$F$14&lt;&gt;"",'Your debts'!$F$11&lt;'Your debts'!$F$14),AG151,0)+IF(AND('Your debts'!$F$12&lt;&gt;"",'Your debts'!$F$14&lt;&gt;"",'Your debts'!$F$12&lt;'Your debts'!$F$14),AL151,0)+IF(AND('Your debts'!$F$13&lt;&gt;"",'Your debts'!$F$14&lt;&gt;"",'Your debts'!$F$13&lt;'Your debts'!$F$14),AQ151,0)+IF(AND('Your debts'!$F$15&lt;&gt;"",'Your debts'!$F$14&lt;&gt;"",'Your debts'!$F$15&lt;'Your debts'!$F$14),BA151,0)))))</f>
        <v/>
      </c>
      <c r="AX151" s="33">
        <f>AV151-AW151</f>
        <v/>
      </c>
      <c r="AY151" s="33">
        <f>IF(BC150&lt;=0,0,ROUND(BC150*(1+'Your debts'!$D$15/1200),2))</f>
        <v/>
      </c>
      <c r="AZ151" s="33">
        <f>IF(AY151&lt;=0,0,MIN('Your debts'!$E$15,AY151))</f>
        <v/>
      </c>
      <c r="BA151" s="33">
        <f>AY151-AZ151</f>
        <v/>
      </c>
      <c r="BB151" s="33">
        <f>IF('Your debts'!$F$15="",0,MIN(BA151,MAX(0,MAX(0,'Your debts'!$C$19-(G151+L151+Q151+V151+AA151+AF151+AK151+AP151+AU151+AZ151))-(IF(AND('Your debts'!$F$6&lt;&gt;"",'Your debts'!$F$15&lt;&gt;"",'Your debts'!$F$6&lt;'Your debts'!$F$15),H151,0)+IF(AND('Your debts'!$F$7&lt;&gt;"",'Your debts'!$F$15&lt;&gt;"",'Your debts'!$F$7&lt;'Your debts'!$F$15),M151,0)+IF(AND('Your debts'!$F$8&lt;&gt;"",'Your debts'!$F$15&lt;&gt;"",'Your debts'!$F$8&lt;'Your debts'!$F$15),R151,0)+IF(AND('Your debts'!$F$9&lt;&gt;"",'Your debts'!$F$15&lt;&gt;"",'Your debts'!$F$9&lt;'Your debts'!$F$15),W151,0)+IF(AND('Your debts'!$F$10&lt;&gt;"",'Your debts'!$F$15&lt;&gt;"",'Your debts'!$F$10&lt;'Your debts'!$F$15),AB151,0)+IF(AND('Your debts'!$F$11&lt;&gt;"",'Your debts'!$F$15&lt;&gt;"",'Your debts'!$F$11&lt;'Your debts'!$F$15),AG151,0)+IF(AND('Your debts'!$F$12&lt;&gt;"",'Your debts'!$F$15&lt;&gt;"",'Your debts'!$F$12&lt;'Your debts'!$F$15),AL151,0)+IF(AND('Your debts'!$F$13&lt;&gt;"",'Your debts'!$F$15&lt;&gt;"",'Your debts'!$F$13&lt;'Your debts'!$F$15),AQ151,0)+IF(AND('Your debts'!$F$14&lt;&gt;"",'Your debts'!$F$15&lt;&gt;"",'Your debts'!$F$14&lt;'Your debts'!$F$15),AV151,0)))))</f>
        <v/>
      </c>
      <c r="BC151" s="33">
        <f>BA151-BB151</f>
        <v/>
      </c>
    </row>
    <row r="152">
      <c r="A152" s="30" t="n">
        <v>137</v>
      </c>
      <c r="B152" s="31">
        <f>EDATE($B$15,137)</f>
        <v/>
      </c>
      <c r="C152" s="32">
        <f>IF(J151&lt;=0,0,F152-J151)+IF(O151&lt;=0,0,K152-O151)+IF(T151&lt;=0,0,P152-T151)+IF(Y151&lt;=0,0,U152-Y151)+IF(AD151&lt;=0,0,Z152-AD151)+IF(AI151&lt;=0,0,AE152-AI151)+IF(AN151&lt;=0,0,AJ152-AN151)+IF(AS151&lt;=0,0,AO152-AS151)+IF(AX151&lt;=0,0,AT152-AX151)+IF(BC151&lt;=0,0,AY152-BC151)</f>
        <v/>
      </c>
      <c r="D152" s="32">
        <f>G152+I152+L152+N152+Q152+S152+V152+X152+AA152+AC152+AF152+AH152+AK152+AM152+AP152+AR152+AU152+AW152+AZ152+BB152</f>
        <v/>
      </c>
      <c r="E152" s="32">
        <f>J152+O152+T152+Y152+AD152+AI152+AN152+AS152+AX152+BC152</f>
        <v/>
      </c>
      <c r="F152" s="33">
        <f>IF(J151&lt;=0,0,ROUND(J151*(1+'Your debts'!$D$6/1200),2))</f>
        <v/>
      </c>
      <c r="G152" s="33">
        <f>IF(F152&lt;=0,0,MIN('Your debts'!$E$6,F152))</f>
        <v/>
      </c>
      <c r="H152" s="33">
        <f>F152-G152</f>
        <v/>
      </c>
      <c r="I152" s="33">
        <f>IF('Your debts'!$F$6="",0,MIN(H152,MAX(0,MAX(0,'Your debts'!$C$19-(G152+L152+Q152+V152+AA152+AF152+AK152+AP152+AU152+AZ152))-(IF(AND('Your debts'!$F$7&lt;&gt;"",'Your debts'!$F$6&lt;&gt;"",'Your debts'!$F$7&lt;'Your debts'!$F$6),M152,0)+IF(AND('Your debts'!$F$8&lt;&gt;"",'Your debts'!$F$6&lt;&gt;"",'Your debts'!$F$8&lt;'Your debts'!$F$6),R152,0)+IF(AND('Your debts'!$F$9&lt;&gt;"",'Your debts'!$F$6&lt;&gt;"",'Your debts'!$F$9&lt;'Your debts'!$F$6),W152,0)+IF(AND('Your debts'!$F$10&lt;&gt;"",'Your debts'!$F$6&lt;&gt;"",'Your debts'!$F$10&lt;'Your debts'!$F$6),AB152,0)+IF(AND('Your debts'!$F$11&lt;&gt;"",'Your debts'!$F$6&lt;&gt;"",'Your debts'!$F$11&lt;'Your debts'!$F$6),AG152,0)+IF(AND('Your debts'!$F$12&lt;&gt;"",'Your debts'!$F$6&lt;&gt;"",'Your debts'!$F$12&lt;'Your debts'!$F$6),AL152,0)+IF(AND('Your debts'!$F$13&lt;&gt;"",'Your debts'!$F$6&lt;&gt;"",'Your debts'!$F$13&lt;'Your debts'!$F$6),AQ152,0)+IF(AND('Your debts'!$F$14&lt;&gt;"",'Your debts'!$F$6&lt;&gt;"",'Your debts'!$F$14&lt;'Your debts'!$F$6),AV152,0)+IF(AND('Your debts'!$F$15&lt;&gt;"",'Your debts'!$F$6&lt;&gt;"",'Your debts'!$F$15&lt;'Your debts'!$F$6),BA152,0)))))</f>
        <v/>
      </c>
      <c r="J152" s="33">
        <f>H152-I152</f>
        <v/>
      </c>
      <c r="K152" s="33">
        <f>IF(O151&lt;=0,0,ROUND(O151*(1+'Your debts'!$D$7/1200),2))</f>
        <v/>
      </c>
      <c r="L152" s="33">
        <f>IF(K152&lt;=0,0,MIN('Your debts'!$E$7,K152))</f>
        <v/>
      </c>
      <c r="M152" s="33">
        <f>K152-L152</f>
        <v/>
      </c>
      <c r="N152" s="33">
        <f>IF('Your debts'!$F$7="",0,MIN(M152,MAX(0,MAX(0,'Your debts'!$C$19-(G152+L152+Q152+V152+AA152+AF152+AK152+AP152+AU152+AZ152))-(IF(AND('Your debts'!$F$6&lt;&gt;"",'Your debts'!$F$7&lt;&gt;"",'Your debts'!$F$6&lt;'Your debts'!$F$7),H152,0)+IF(AND('Your debts'!$F$8&lt;&gt;"",'Your debts'!$F$7&lt;&gt;"",'Your debts'!$F$8&lt;'Your debts'!$F$7),R152,0)+IF(AND('Your debts'!$F$9&lt;&gt;"",'Your debts'!$F$7&lt;&gt;"",'Your debts'!$F$9&lt;'Your debts'!$F$7),W152,0)+IF(AND('Your debts'!$F$10&lt;&gt;"",'Your debts'!$F$7&lt;&gt;"",'Your debts'!$F$10&lt;'Your debts'!$F$7),AB152,0)+IF(AND('Your debts'!$F$11&lt;&gt;"",'Your debts'!$F$7&lt;&gt;"",'Your debts'!$F$11&lt;'Your debts'!$F$7),AG152,0)+IF(AND('Your debts'!$F$12&lt;&gt;"",'Your debts'!$F$7&lt;&gt;"",'Your debts'!$F$12&lt;'Your debts'!$F$7),AL152,0)+IF(AND('Your debts'!$F$13&lt;&gt;"",'Your debts'!$F$7&lt;&gt;"",'Your debts'!$F$13&lt;'Your debts'!$F$7),AQ152,0)+IF(AND('Your debts'!$F$14&lt;&gt;"",'Your debts'!$F$7&lt;&gt;"",'Your debts'!$F$14&lt;'Your debts'!$F$7),AV152,0)+IF(AND('Your debts'!$F$15&lt;&gt;"",'Your debts'!$F$7&lt;&gt;"",'Your debts'!$F$15&lt;'Your debts'!$F$7),BA152,0)))))</f>
        <v/>
      </c>
      <c r="O152" s="33">
        <f>M152-N152</f>
        <v/>
      </c>
      <c r="P152" s="33">
        <f>IF(T151&lt;=0,0,ROUND(T151*(1+'Your debts'!$D$8/1200),2))</f>
        <v/>
      </c>
      <c r="Q152" s="33">
        <f>IF(P152&lt;=0,0,MIN('Your debts'!$E$8,P152))</f>
        <v/>
      </c>
      <c r="R152" s="33">
        <f>P152-Q152</f>
        <v/>
      </c>
      <c r="S152" s="33">
        <f>IF('Your debts'!$F$8="",0,MIN(R152,MAX(0,MAX(0,'Your debts'!$C$19-(G152+L152+Q152+V152+AA152+AF152+AK152+AP152+AU152+AZ152))-(IF(AND('Your debts'!$F$6&lt;&gt;"",'Your debts'!$F$8&lt;&gt;"",'Your debts'!$F$6&lt;'Your debts'!$F$8),H152,0)+IF(AND('Your debts'!$F$7&lt;&gt;"",'Your debts'!$F$8&lt;&gt;"",'Your debts'!$F$7&lt;'Your debts'!$F$8),M152,0)+IF(AND('Your debts'!$F$9&lt;&gt;"",'Your debts'!$F$8&lt;&gt;"",'Your debts'!$F$9&lt;'Your debts'!$F$8),W152,0)+IF(AND('Your debts'!$F$10&lt;&gt;"",'Your debts'!$F$8&lt;&gt;"",'Your debts'!$F$10&lt;'Your debts'!$F$8),AB152,0)+IF(AND('Your debts'!$F$11&lt;&gt;"",'Your debts'!$F$8&lt;&gt;"",'Your debts'!$F$11&lt;'Your debts'!$F$8),AG152,0)+IF(AND('Your debts'!$F$12&lt;&gt;"",'Your debts'!$F$8&lt;&gt;"",'Your debts'!$F$12&lt;'Your debts'!$F$8),AL152,0)+IF(AND('Your debts'!$F$13&lt;&gt;"",'Your debts'!$F$8&lt;&gt;"",'Your debts'!$F$13&lt;'Your debts'!$F$8),AQ152,0)+IF(AND('Your debts'!$F$14&lt;&gt;"",'Your debts'!$F$8&lt;&gt;"",'Your debts'!$F$14&lt;'Your debts'!$F$8),AV152,0)+IF(AND('Your debts'!$F$15&lt;&gt;"",'Your debts'!$F$8&lt;&gt;"",'Your debts'!$F$15&lt;'Your debts'!$F$8),BA152,0)))))</f>
        <v/>
      </c>
      <c r="T152" s="33">
        <f>R152-S152</f>
        <v/>
      </c>
      <c r="U152" s="33">
        <f>IF(Y151&lt;=0,0,ROUND(Y151*(1+'Your debts'!$D$9/1200),2))</f>
        <v/>
      </c>
      <c r="V152" s="33">
        <f>IF(U152&lt;=0,0,MIN('Your debts'!$E$9,U152))</f>
        <v/>
      </c>
      <c r="W152" s="33">
        <f>U152-V152</f>
        <v/>
      </c>
      <c r="X152" s="33">
        <f>IF('Your debts'!$F$9="",0,MIN(W152,MAX(0,MAX(0,'Your debts'!$C$19-(G152+L152+Q152+V152+AA152+AF152+AK152+AP152+AU152+AZ152))-(IF(AND('Your debts'!$F$6&lt;&gt;"",'Your debts'!$F$9&lt;&gt;"",'Your debts'!$F$6&lt;'Your debts'!$F$9),H152,0)+IF(AND('Your debts'!$F$7&lt;&gt;"",'Your debts'!$F$9&lt;&gt;"",'Your debts'!$F$7&lt;'Your debts'!$F$9),M152,0)+IF(AND('Your debts'!$F$8&lt;&gt;"",'Your debts'!$F$9&lt;&gt;"",'Your debts'!$F$8&lt;'Your debts'!$F$9),R152,0)+IF(AND('Your debts'!$F$10&lt;&gt;"",'Your debts'!$F$9&lt;&gt;"",'Your debts'!$F$10&lt;'Your debts'!$F$9),AB152,0)+IF(AND('Your debts'!$F$11&lt;&gt;"",'Your debts'!$F$9&lt;&gt;"",'Your debts'!$F$11&lt;'Your debts'!$F$9),AG152,0)+IF(AND('Your debts'!$F$12&lt;&gt;"",'Your debts'!$F$9&lt;&gt;"",'Your debts'!$F$12&lt;'Your debts'!$F$9),AL152,0)+IF(AND('Your debts'!$F$13&lt;&gt;"",'Your debts'!$F$9&lt;&gt;"",'Your debts'!$F$13&lt;'Your debts'!$F$9),AQ152,0)+IF(AND('Your debts'!$F$14&lt;&gt;"",'Your debts'!$F$9&lt;&gt;"",'Your debts'!$F$14&lt;'Your debts'!$F$9),AV152,0)+IF(AND('Your debts'!$F$15&lt;&gt;"",'Your debts'!$F$9&lt;&gt;"",'Your debts'!$F$15&lt;'Your debts'!$F$9),BA152,0)))))</f>
        <v/>
      </c>
      <c r="Y152" s="33">
        <f>W152-X152</f>
        <v/>
      </c>
      <c r="Z152" s="33">
        <f>IF(AD151&lt;=0,0,ROUND(AD151*(1+'Your debts'!$D$10/1200),2))</f>
        <v/>
      </c>
      <c r="AA152" s="33">
        <f>IF(Z152&lt;=0,0,MIN('Your debts'!$E$10,Z152))</f>
        <v/>
      </c>
      <c r="AB152" s="33">
        <f>Z152-AA152</f>
        <v/>
      </c>
      <c r="AC152" s="33">
        <f>IF('Your debts'!$F$10="",0,MIN(AB152,MAX(0,MAX(0,'Your debts'!$C$19-(G152+L152+Q152+V152+AA152+AF152+AK152+AP152+AU152+AZ152))-(IF(AND('Your debts'!$F$6&lt;&gt;"",'Your debts'!$F$10&lt;&gt;"",'Your debts'!$F$6&lt;'Your debts'!$F$10),H152,0)+IF(AND('Your debts'!$F$7&lt;&gt;"",'Your debts'!$F$10&lt;&gt;"",'Your debts'!$F$7&lt;'Your debts'!$F$10),M152,0)+IF(AND('Your debts'!$F$8&lt;&gt;"",'Your debts'!$F$10&lt;&gt;"",'Your debts'!$F$8&lt;'Your debts'!$F$10),R152,0)+IF(AND('Your debts'!$F$9&lt;&gt;"",'Your debts'!$F$10&lt;&gt;"",'Your debts'!$F$9&lt;'Your debts'!$F$10),W152,0)+IF(AND('Your debts'!$F$11&lt;&gt;"",'Your debts'!$F$10&lt;&gt;"",'Your debts'!$F$11&lt;'Your debts'!$F$10),AG152,0)+IF(AND('Your debts'!$F$12&lt;&gt;"",'Your debts'!$F$10&lt;&gt;"",'Your debts'!$F$12&lt;'Your debts'!$F$10),AL152,0)+IF(AND('Your debts'!$F$13&lt;&gt;"",'Your debts'!$F$10&lt;&gt;"",'Your debts'!$F$13&lt;'Your debts'!$F$10),AQ152,0)+IF(AND('Your debts'!$F$14&lt;&gt;"",'Your debts'!$F$10&lt;&gt;"",'Your debts'!$F$14&lt;'Your debts'!$F$10),AV152,0)+IF(AND('Your debts'!$F$15&lt;&gt;"",'Your debts'!$F$10&lt;&gt;"",'Your debts'!$F$15&lt;'Your debts'!$F$10),BA152,0)))))</f>
        <v/>
      </c>
      <c r="AD152" s="33">
        <f>AB152-AC152</f>
        <v/>
      </c>
      <c r="AE152" s="33">
        <f>IF(AI151&lt;=0,0,ROUND(AI151*(1+'Your debts'!$D$11/1200),2))</f>
        <v/>
      </c>
      <c r="AF152" s="33">
        <f>IF(AE152&lt;=0,0,MIN('Your debts'!$E$11,AE152))</f>
        <v/>
      </c>
      <c r="AG152" s="33">
        <f>AE152-AF152</f>
        <v/>
      </c>
      <c r="AH152" s="33">
        <f>IF('Your debts'!$F$11="",0,MIN(AG152,MAX(0,MAX(0,'Your debts'!$C$19-(G152+L152+Q152+V152+AA152+AF152+AK152+AP152+AU152+AZ152))-(IF(AND('Your debts'!$F$6&lt;&gt;"",'Your debts'!$F$11&lt;&gt;"",'Your debts'!$F$6&lt;'Your debts'!$F$11),H152,0)+IF(AND('Your debts'!$F$7&lt;&gt;"",'Your debts'!$F$11&lt;&gt;"",'Your debts'!$F$7&lt;'Your debts'!$F$11),M152,0)+IF(AND('Your debts'!$F$8&lt;&gt;"",'Your debts'!$F$11&lt;&gt;"",'Your debts'!$F$8&lt;'Your debts'!$F$11),R152,0)+IF(AND('Your debts'!$F$9&lt;&gt;"",'Your debts'!$F$11&lt;&gt;"",'Your debts'!$F$9&lt;'Your debts'!$F$11),W152,0)+IF(AND('Your debts'!$F$10&lt;&gt;"",'Your debts'!$F$11&lt;&gt;"",'Your debts'!$F$10&lt;'Your debts'!$F$11),AB152,0)+IF(AND('Your debts'!$F$12&lt;&gt;"",'Your debts'!$F$11&lt;&gt;"",'Your debts'!$F$12&lt;'Your debts'!$F$11),AL152,0)+IF(AND('Your debts'!$F$13&lt;&gt;"",'Your debts'!$F$11&lt;&gt;"",'Your debts'!$F$13&lt;'Your debts'!$F$11),AQ152,0)+IF(AND('Your debts'!$F$14&lt;&gt;"",'Your debts'!$F$11&lt;&gt;"",'Your debts'!$F$14&lt;'Your debts'!$F$11),AV152,0)+IF(AND('Your debts'!$F$15&lt;&gt;"",'Your debts'!$F$11&lt;&gt;"",'Your debts'!$F$15&lt;'Your debts'!$F$11),BA152,0)))))</f>
        <v/>
      </c>
      <c r="AI152" s="33">
        <f>AG152-AH152</f>
        <v/>
      </c>
      <c r="AJ152" s="33">
        <f>IF(AN151&lt;=0,0,ROUND(AN151*(1+'Your debts'!$D$12/1200),2))</f>
        <v/>
      </c>
      <c r="AK152" s="33">
        <f>IF(AJ152&lt;=0,0,MIN('Your debts'!$E$12,AJ152))</f>
        <v/>
      </c>
      <c r="AL152" s="33">
        <f>AJ152-AK152</f>
        <v/>
      </c>
      <c r="AM152" s="33">
        <f>IF('Your debts'!$F$12="",0,MIN(AL152,MAX(0,MAX(0,'Your debts'!$C$19-(G152+L152+Q152+V152+AA152+AF152+AK152+AP152+AU152+AZ152))-(IF(AND('Your debts'!$F$6&lt;&gt;"",'Your debts'!$F$12&lt;&gt;"",'Your debts'!$F$6&lt;'Your debts'!$F$12),H152,0)+IF(AND('Your debts'!$F$7&lt;&gt;"",'Your debts'!$F$12&lt;&gt;"",'Your debts'!$F$7&lt;'Your debts'!$F$12),M152,0)+IF(AND('Your debts'!$F$8&lt;&gt;"",'Your debts'!$F$12&lt;&gt;"",'Your debts'!$F$8&lt;'Your debts'!$F$12),R152,0)+IF(AND('Your debts'!$F$9&lt;&gt;"",'Your debts'!$F$12&lt;&gt;"",'Your debts'!$F$9&lt;'Your debts'!$F$12),W152,0)+IF(AND('Your debts'!$F$10&lt;&gt;"",'Your debts'!$F$12&lt;&gt;"",'Your debts'!$F$10&lt;'Your debts'!$F$12),AB152,0)+IF(AND('Your debts'!$F$11&lt;&gt;"",'Your debts'!$F$12&lt;&gt;"",'Your debts'!$F$11&lt;'Your debts'!$F$12),AG152,0)+IF(AND('Your debts'!$F$13&lt;&gt;"",'Your debts'!$F$12&lt;&gt;"",'Your debts'!$F$13&lt;'Your debts'!$F$12),AQ152,0)+IF(AND('Your debts'!$F$14&lt;&gt;"",'Your debts'!$F$12&lt;&gt;"",'Your debts'!$F$14&lt;'Your debts'!$F$12),AV152,0)+IF(AND('Your debts'!$F$15&lt;&gt;"",'Your debts'!$F$12&lt;&gt;"",'Your debts'!$F$15&lt;'Your debts'!$F$12),BA152,0)))))</f>
        <v/>
      </c>
      <c r="AN152" s="33">
        <f>AL152-AM152</f>
        <v/>
      </c>
      <c r="AO152" s="33">
        <f>IF(AS151&lt;=0,0,ROUND(AS151*(1+'Your debts'!$D$13/1200),2))</f>
        <v/>
      </c>
      <c r="AP152" s="33">
        <f>IF(AO152&lt;=0,0,MIN('Your debts'!$E$13,AO152))</f>
        <v/>
      </c>
      <c r="AQ152" s="33">
        <f>AO152-AP152</f>
        <v/>
      </c>
      <c r="AR152" s="33">
        <f>IF('Your debts'!$F$13="",0,MIN(AQ152,MAX(0,MAX(0,'Your debts'!$C$19-(G152+L152+Q152+V152+AA152+AF152+AK152+AP152+AU152+AZ152))-(IF(AND('Your debts'!$F$6&lt;&gt;"",'Your debts'!$F$13&lt;&gt;"",'Your debts'!$F$6&lt;'Your debts'!$F$13),H152,0)+IF(AND('Your debts'!$F$7&lt;&gt;"",'Your debts'!$F$13&lt;&gt;"",'Your debts'!$F$7&lt;'Your debts'!$F$13),M152,0)+IF(AND('Your debts'!$F$8&lt;&gt;"",'Your debts'!$F$13&lt;&gt;"",'Your debts'!$F$8&lt;'Your debts'!$F$13),R152,0)+IF(AND('Your debts'!$F$9&lt;&gt;"",'Your debts'!$F$13&lt;&gt;"",'Your debts'!$F$9&lt;'Your debts'!$F$13),W152,0)+IF(AND('Your debts'!$F$10&lt;&gt;"",'Your debts'!$F$13&lt;&gt;"",'Your debts'!$F$10&lt;'Your debts'!$F$13),AB152,0)+IF(AND('Your debts'!$F$11&lt;&gt;"",'Your debts'!$F$13&lt;&gt;"",'Your debts'!$F$11&lt;'Your debts'!$F$13),AG152,0)+IF(AND('Your debts'!$F$12&lt;&gt;"",'Your debts'!$F$13&lt;&gt;"",'Your debts'!$F$12&lt;'Your debts'!$F$13),AL152,0)+IF(AND('Your debts'!$F$14&lt;&gt;"",'Your debts'!$F$13&lt;&gt;"",'Your debts'!$F$14&lt;'Your debts'!$F$13),AV152,0)+IF(AND('Your debts'!$F$15&lt;&gt;"",'Your debts'!$F$13&lt;&gt;"",'Your debts'!$F$15&lt;'Your debts'!$F$13),BA152,0)))))</f>
        <v/>
      </c>
      <c r="AS152" s="33">
        <f>AQ152-AR152</f>
        <v/>
      </c>
      <c r="AT152" s="33">
        <f>IF(AX151&lt;=0,0,ROUND(AX151*(1+'Your debts'!$D$14/1200),2))</f>
        <v/>
      </c>
      <c r="AU152" s="33">
        <f>IF(AT152&lt;=0,0,MIN('Your debts'!$E$14,AT152))</f>
        <v/>
      </c>
      <c r="AV152" s="33">
        <f>AT152-AU152</f>
        <v/>
      </c>
      <c r="AW152" s="33">
        <f>IF('Your debts'!$F$14="",0,MIN(AV152,MAX(0,MAX(0,'Your debts'!$C$19-(G152+L152+Q152+V152+AA152+AF152+AK152+AP152+AU152+AZ152))-(IF(AND('Your debts'!$F$6&lt;&gt;"",'Your debts'!$F$14&lt;&gt;"",'Your debts'!$F$6&lt;'Your debts'!$F$14),H152,0)+IF(AND('Your debts'!$F$7&lt;&gt;"",'Your debts'!$F$14&lt;&gt;"",'Your debts'!$F$7&lt;'Your debts'!$F$14),M152,0)+IF(AND('Your debts'!$F$8&lt;&gt;"",'Your debts'!$F$14&lt;&gt;"",'Your debts'!$F$8&lt;'Your debts'!$F$14),R152,0)+IF(AND('Your debts'!$F$9&lt;&gt;"",'Your debts'!$F$14&lt;&gt;"",'Your debts'!$F$9&lt;'Your debts'!$F$14),W152,0)+IF(AND('Your debts'!$F$10&lt;&gt;"",'Your debts'!$F$14&lt;&gt;"",'Your debts'!$F$10&lt;'Your debts'!$F$14),AB152,0)+IF(AND('Your debts'!$F$11&lt;&gt;"",'Your debts'!$F$14&lt;&gt;"",'Your debts'!$F$11&lt;'Your debts'!$F$14),AG152,0)+IF(AND('Your debts'!$F$12&lt;&gt;"",'Your debts'!$F$14&lt;&gt;"",'Your debts'!$F$12&lt;'Your debts'!$F$14),AL152,0)+IF(AND('Your debts'!$F$13&lt;&gt;"",'Your debts'!$F$14&lt;&gt;"",'Your debts'!$F$13&lt;'Your debts'!$F$14),AQ152,0)+IF(AND('Your debts'!$F$15&lt;&gt;"",'Your debts'!$F$14&lt;&gt;"",'Your debts'!$F$15&lt;'Your debts'!$F$14),BA152,0)))))</f>
        <v/>
      </c>
      <c r="AX152" s="33">
        <f>AV152-AW152</f>
        <v/>
      </c>
      <c r="AY152" s="33">
        <f>IF(BC151&lt;=0,0,ROUND(BC151*(1+'Your debts'!$D$15/1200),2))</f>
        <v/>
      </c>
      <c r="AZ152" s="33">
        <f>IF(AY152&lt;=0,0,MIN('Your debts'!$E$15,AY152))</f>
        <v/>
      </c>
      <c r="BA152" s="33">
        <f>AY152-AZ152</f>
        <v/>
      </c>
      <c r="BB152" s="33">
        <f>IF('Your debts'!$F$15="",0,MIN(BA152,MAX(0,MAX(0,'Your debts'!$C$19-(G152+L152+Q152+V152+AA152+AF152+AK152+AP152+AU152+AZ152))-(IF(AND('Your debts'!$F$6&lt;&gt;"",'Your debts'!$F$15&lt;&gt;"",'Your debts'!$F$6&lt;'Your debts'!$F$15),H152,0)+IF(AND('Your debts'!$F$7&lt;&gt;"",'Your debts'!$F$15&lt;&gt;"",'Your debts'!$F$7&lt;'Your debts'!$F$15),M152,0)+IF(AND('Your debts'!$F$8&lt;&gt;"",'Your debts'!$F$15&lt;&gt;"",'Your debts'!$F$8&lt;'Your debts'!$F$15),R152,0)+IF(AND('Your debts'!$F$9&lt;&gt;"",'Your debts'!$F$15&lt;&gt;"",'Your debts'!$F$9&lt;'Your debts'!$F$15),W152,0)+IF(AND('Your debts'!$F$10&lt;&gt;"",'Your debts'!$F$15&lt;&gt;"",'Your debts'!$F$10&lt;'Your debts'!$F$15),AB152,0)+IF(AND('Your debts'!$F$11&lt;&gt;"",'Your debts'!$F$15&lt;&gt;"",'Your debts'!$F$11&lt;'Your debts'!$F$15),AG152,0)+IF(AND('Your debts'!$F$12&lt;&gt;"",'Your debts'!$F$15&lt;&gt;"",'Your debts'!$F$12&lt;'Your debts'!$F$15),AL152,0)+IF(AND('Your debts'!$F$13&lt;&gt;"",'Your debts'!$F$15&lt;&gt;"",'Your debts'!$F$13&lt;'Your debts'!$F$15),AQ152,0)+IF(AND('Your debts'!$F$14&lt;&gt;"",'Your debts'!$F$15&lt;&gt;"",'Your debts'!$F$14&lt;'Your debts'!$F$15),AV152,0)))))</f>
        <v/>
      </c>
      <c r="BC152" s="33">
        <f>BA152-BB152</f>
        <v/>
      </c>
    </row>
    <row r="153">
      <c r="A153" s="30" t="n">
        <v>138</v>
      </c>
      <c r="B153" s="31">
        <f>EDATE($B$15,138)</f>
        <v/>
      </c>
      <c r="C153" s="32">
        <f>IF(J152&lt;=0,0,F153-J152)+IF(O152&lt;=0,0,K153-O152)+IF(T152&lt;=0,0,P153-T152)+IF(Y152&lt;=0,0,U153-Y152)+IF(AD152&lt;=0,0,Z153-AD152)+IF(AI152&lt;=0,0,AE153-AI152)+IF(AN152&lt;=0,0,AJ153-AN152)+IF(AS152&lt;=0,0,AO153-AS152)+IF(AX152&lt;=0,0,AT153-AX152)+IF(BC152&lt;=0,0,AY153-BC152)</f>
        <v/>
      </c>
      <c r="D153" s="32">
        <f>G153+I153+L153+N153+Q153+S153+V153+X153+AA153+AC153+AF153+AH153+AK153+AM153+AP153+AR153+AU153+AW153+AZ153+BB153</f>
        <v/>
      </c>
      <c r="E153" s="32">
        <f>J153+O153+T153+Y153+AD153+AI153+AN153+AS153+AX153+BC153</f>
        <v/>
      </c>
      <c r="F153" s="33">
        <f>IF(J152&lt;=0,0,ROUND(J152*(1+'Your debts'!$D$6/1200),2))</f>
        <v/>
      </c>
      <c r="G153" s="33">
        <f>IF(F153&lt;=0,0,MIN('Your debts'!$E$6,F153))</f>
        <v/>
      </c>
      <c r="H153" s="33">
        <f>F153-G153</f>
        <v/>
      </c>
      <c r="I153" s="33">
        <f>IF('Your debts'!$F$6="",0,MIN(H153,MAX(0,MAX(0,'Your debts'!$C$19-(G153+L153+Q153+V153+AA153+AF153+AK153+AP153+AU153+AZ153))-(IF(AND('Your debts'!$F$7&lt;&gt;"",'Your debts'!$F$6&lt;&gt;"",'Your debts'!$F$7&lt;'Your debts'!$F$6),M153,0)+IF(AND('Your debts'!$F$8&lt;&gt;"",'Your debts'!$F$6&lt;&gt;"",'Your debts'!$F$8&lt;'Your debts'!$F$6),R153,0)+IF(AND('Your debts'!$F$9&lt;&gt;"",'Your debts'!$F$6&lt;&gt;"",'Your debts'!$F$9&lt;'Your debts'!$F$6),W153,0)+IF(AND('Your debts'!$F$10&lt;&gt;"",'Your debts'!$F$6&lt;&gt;"",'Your debts'!$F$10&lt;'Your debts'!$F$6),AB153,0)+IF(AND('Your debts'!$F$11&lt;&gt;"",'Your debts'!$F$6&lt;&gt;"",'Your debts'!$F$11&lt;'Your debts'!$F$6),AG153,0)+IF(AND('Your debts'!$F$12&lt;&gt;"",'Your debts'!$F$6&lt;&gt;"",'Your debts'!$F$12&lt;'Your debts'!$F$6),AL153,0)+IF(AND('Your debts'!$F$13&lt;&gt;"",'Your debts'!$F$6&lt;&gt;"",'Your debts'!$F$13&lt;'Your debts'!$F$6),AQ153,0)+IF(AND('Your debts'!$F$14&lt;&gt;"",'Your debts'!$F$6&lt;&gt;"",'Your debts'!$F$14&lt;'Your debts'!$F$6),AV153,0)+IF(AND('Your debts'!$F$15&lt;&gt;"",'Your debts'!$F$6&lt;&gt;"",'Your debts'!$F$15&lt;'Your debts'!$F$6),BA153,0)))))</f>
        <v/>
      </c>
      <c r="J153" s="33">
        <f>H153-I153</f>
        <v/>
      </c>
      <c r="K153" s="33">
        <f>IF(O152&lt;=0,0,ROUND(O152*(1+'Your debts'!$D$7/1200),2))</f>
        <v/>
      </c>
      <c r="L153" s="33">
        <f>IF(K153&lt;=0,0,MIN('Your debts'!$E$7,K153))</f>
        <v/>
      </c>
      <c r="M153" s="33">
        <f>K153-L153</f>
        <v/>
      </c>
      <c r="N153" s="33">
        <f>IF('Your debts'!$F$7="",0,MIN(M153,MAX(0,MAX(0,'Your debts'!$C$19-(G153+L153+Q153+V153+AA153+AF153+AK153+AP153+AU153+AZ153))-(IF(AND('Your debts'!$F$6&lt;&gt;"",'Your debts'!$F$7&lt;&gt;"",'Your debts'!$F$6&lt;'Your debts'!$F$7),H153,0)+IF(AND('Your debts'!$F$8&lt;&gt;"",'Your debts'!$F$7&lt;&gt;"",'Your debts'!$F$8&lt;'Your debts'!$F$7),R153,0)+IF(AND('Your debts'!$F$9&lt;&gt;"",'Your debts'!$F$7&lt;&gt;"",'Your debts'!$F$9&lt;'Your debts'!$F$7),W153,0)+IF(AND('Your debts'!$F$10&lt;&gt;"",'Your debts'!$F$7&lt;&gt;"",'Your debts'!$F$10&lt;'Your debts'!$F$7),AB153,0)+IF(AND('Your debts'!$F$11&lt;&gt;"",'Your debts'!$F$7&lt;&gt;"",'Your debts'!$F$11&lt;'Your debts'!$F$7),AG153,0)+IF(AND('Your debts'!$F$12&lt;&gt;"",'Your debts'!$F$7&lt;&gt;"",'Your debts'!$F$12&lt;'Your debts'!$F$7),AL153,0)+IF(AND('Your debts'!$F$13&lt;&gt;"",'Your debts'!$F$7&lt;&gt;"",'Your debts'!$F$13&lt;'Your debts'!$F$7),AQ153,0)+IF(AND('Your debts'!$F$14&lt;&gt;"",'Your debts'!$F$7&lt;&gt;"",'Your debts'!$F$14&lt;'Your debts'!$F$7),AV153,0)+IF(AND('Your debts'!$F$15&lt;&gt;"",'Your debts'!$F$7&lt;&gt;"",'Your debts'!$F$15&lt;'Your debts'!$F$7),BA153,0)))))</f>
        <v/>
      </c>
      <c r="O153" s="33">
        <f>M153-N153</f>
        <v/>
      </c>
      <c r="P153" s="33">
        <f>IF(T152&lt;=0,0,ROUND(T152*(1+'Your debts'!$D$8/1200),2))</f>
        <v/>
      </c>
      <c r="Q153" s="33">
        <f>IF(P153&lt;=0,0,MIN('Your debts'!$E$8,P153))</f>
        <v/>
      </c>
      <c r="R153" s="33">
        <f>P153-Q153</f>
        <v/>
      </c>
      <c r="S153" s="33">
        <f>IF('Your debts'!$F$8="",0,MIN(R153,MAX(0,MAX(0,'Your debts'!$C$19-(G153+L153+Q153+V153+AA153+AF153+AK153+AP153+AU153+AZ153))-(IF(AND('Your debts'!$F$6&lt;&gt;"",'Your debts'!$F$8&lt;&gt;"",'Your debts'!$F$6&lt;'Your debts'!$F$8),H153,0)+IF(AND('Your debts'!$F$7&lt;&gt;"",'Your debts'!$F$8&lt;&gt;"",'Your debts'!$F$7&lt;'Your debts'!$F$8),M153,0)+IF(AND('Your debts'!$F$9&lt;&gt;"",'Your debts'!$F$8&lt;&gt;"",'Your debts'!$F$9&lt;'Your debts'!$F$8),W153,0)+IF(AND('Your debts'!$F$10&lt;&gt;"",'Your debts'!$F$8&lt;&gt;"",'Your debts'!$F$10&lt;'Your debts'!$F$8),AB153,0)+IF(AND('Your debts'!$F$11&lt;&gt;"",'Your debts'!$F$8&lt;&gt;"",'Your debts'!$F$11&lt;'Your debts'!$F$8),AG153,0)+IF(AND('Your debts'!$F$12&lt;&gt;"",'Your debts'!$F$8&lt;&gt;"",'Your debts'!$F$12&lt;'Your debts'!$F$8),AL153,0)+IF(AND('Your debts'!$F$13&lt;&gt;"",'Your debts'!$F$8&lt;&gt;"",'Your debts'!$F$13&lt;'Your debts'!$F$8),AQ153,0)+IF(AND('Your debts'!$F$14&lt;&gt;"",'Your debts'!$F$8&lt;&gt;"",'Your debts'!$F$14&lt;'Your debts'!$F$8),AV153,0)+IF(AND('Your debts'!$F$15&lt;&gt;"",'Your debts'!$F$8&lt;&gt;"",'Your debts'!$F$15&lt;'Your debts'!$F$8),BA153,0)))))</f>
        <v/>
      </c>
      <c r="T153" s="33">
        <f>R153-S153</f>
        <v/>
      </c>
      <c r="U153" s="33">
        <f>IF(Y152&lt;=0,0,ROUND(Y152*(1+'Your debts'!$D$9/1200),2))</f>
        <v/>
      </c>
      <c r="V153" s="33">
        <f>IF(U153&lt;=0,0,MIN('Your debts'!$E$9,U153))</f>
        <v/>
      </c>
      <c r="W153" s="33">
        <f>U153-V153</f>
        <v/>
      </c>
      <c r="X153" s="33">
        <f>IF('Your debts'!$F$9="",0,MIN(W153,MAX(0,MAX(0,'Your debts'!$C$19-(G153+L153+Q153+V153+AA153+AF153+AK153+AP153+AU153+AZ153))-(IF(AND('Your debts'!$F$6&lt;&gt;"",'Your debts'!$F$9&lt;&gt;"",'Your debts'!$F$6&lt;'Your debts'!$F$9),H153,0)+IF(AND('Your debts'!$F$7&lt;&gt;"",'Your debts'!$F$9&lt;&gt;"",'Your debts'!$F$7&lt;'Your debts'!$F$9),M153,0)+IF(AND('Your debts'!$F$8&lt;&gt;"",'Your debts'!$F$9&lt;&gt;"",'Your debts'!$F$8&lt;'Your debts'!$F$9),R153,0)+IF(AND('Your debts'!$F$10&lt;&gt;"",'Your debts'!$F$9&lt;&gt;"",'Your debts'!$F$10&lt;'Your debts'!$F$9),AB153,0)+IF(AND('Your debts'!$F$11&lt;&gt;"",'Your debts'!$F$9&lt;&gt;"",'Your debts'!$F$11&lt;'Your debts'!$F$9),AG153,0)+IF(AND('Your debts'!$F$12&lt;&gt;"",'Your debts'!$F$9&lt;&gt;"",'Your debts'!$F$12&lt;'Your debts'!$F$9),AL153,0)+IF(AND('Your debts'!$F$13&lt;&gt;"",'Your debts'!$F$9&lt;&gt;"",'Your debts'!$F$13&lt;'Your debts'!$F$9),AQ153,0)+IF(AND('Your debts'!$F$14&lt;&gt;"",'Your debts'!$F$9&lt;&gt;"",'Your debts'!$F$14&lt;'Your debts'!$F$9),AV153,0)+IF(AND('Your debts'!$F$15&lt;&gt;"",'Your debts'!$F$9&lt;&gt;"",'Your debts'!$F$15&lt;'Your debts'!$F$9),BA153,0)))))</f>
        <v/>
      </c>
      <c r="Y153" s="33">
        <f>W153-X153</f>
        <v/>
      </c>
      <c r="Z153" s="33">
        <f>IF(AD152&lt;=0,0,ROUND(AD152*(1+'Your debts'!$D$10/1200),2))</f>
        <v/>
      </c>
      <c r="AA153" s="33">
        <f>IF(Z153&lt;=0,0,MIN('Your debts'!$E$10,Z153))</f>
        <v/>
      </c>
      <c r="AB153" s="33">
        <f>Z153-AA153</f>
        <v/>
      </c>
      <c r="AC153" s="33">
        <f>IF('Your debts'!$F$10="",0,MIN(AB153,MAX(0,MAX(0,'Your debts'!$C$19-(G153+L153+Q153+V153+AA153+AF153+AK153+AP153+AU153+AZ153))-(IF(AND('Your debts'!$F$6&lt;&gt;"",'Your debts'!$F$10&lt;&gt;"",'Your debts'!$F$6&lt;'Your debts'!$F$10),H153,0)+IF(AND('Your debts'!$F$7&lt;&gt;"",'Your debts'!$F$10&lt;&gt;"",'Your debts'!$F$7&lt;'Your debts'!$F$10),M153,0)+IF(AND('Your debts'!$F$8&lt;&gt;"",'Your debts'!$F$10&lt;&gt;"",'Your debts'!$F$8&lt;'Your debts'!$F$10),R153,0)+IF(AND('Your debts'!$F$9&lt;&gt;"",'Your debts'!$F$10&lt;&gt;"",'Your debts'!$F$9&lt;'Your debts'!$F$10),W153,0)+IF(AND('Your debts'!$F$11&lt;&gt;"",'Your debts'!$F$10&lt;&gt;"",'Your debts'!$F$11&lt;'Your debts'!$F$10),AG153,0)+IF(AND('Your debts'!$F$12&lt;&gt;"",'Your debts'!$F$10&lt;&gt;"",'Your debts'!$F$12&lt;'Your debts'!$F$10),AL153,0)+IF(AND('Your debts'!$F$13&lt;&gt;"",'Your debts'!$F$10&lt;&gt;"",'Your debts'!$F$13&lt;'Your debts'!$F$10),AQ153,0)+IF(AND('Your debts'!$F$14&lt;&gt;"",'Your debts'!$F$10&lt;&gt;"",'Your debts'!$F$14&lt;'Your debts'!$F$10),AV153,0)+IF(AND('Your debts'!$F$15&lt;&gt;"",'Your debts'!$F$10&lt;&gt;"",'Your debts'!$F$15&lt;'Your debts'!$F$10),BA153,0)))))</f>
        <v/>
      </c>
      <c r="AD153" s="33">
        <f>AB153-AC153</f>
        <v/>
      </c>
      <c r="AE153" s="33">
        <f>IF(AI152&lt;=0,0,ROUND(AI152*(1+'Your debts'!$D$11/1200),2))</f>
        <v/>
      </c>
      <c r="AF153" s="33">
        <f>IF(AE153&lt;=0,0,MIN('Your debts'!$E$11,AE153))</f>
        <v/>
      </c>
      <c r="AG153" s="33">
        <f>AE153-AF153</f>
        <v/>
      </c>
      <c r="AH153" s="33">
        <f>IF('Your debts'!$F$11="",0,MIN(AG153,MAX(0,MAX(0,'Your debts'!$C$19-(G153+L153+Q153+V153+AA153+AF153+AK153+AP153+AU153+AZ153))-(IF(AND('Your debts'!$F$6&lt;&gt;"",'Your debts'!$F$11&lt;&gt;"",'Your debts'!$F$6&lt;'Your debts'!$F$11),H153,0)+IF(AND('Your debts'!$F$7&lt;&gt;"",'Your debts'!$F$11&lt;&gt;"",'Your debts'!$F$7&lt;'Your debts'!$F$11),M153,0)+IF(AND('Your debts'!$F$8&lt;&gt;"",'Your debts'!$F$11&lt;&gt;"",'Your debts'!$F$8&lt;'Your debts'!$F$11),R153,0)+IF(AND('Your debts'!$F$9&lt;&gt;"",'Your debts'!$F$11&lt;&gt;"",'Your debts'!$F$9&lt;'Your debts'!$F$11),W153,0)+IF(AND('Your debts'!$F$10&lt;&gt;"",'Your debts'!$F$11&lt;&gt;"",'Your debts'!$F$10&lt;'Your debts'!$F$11),AB153,0)+IF(AND('Your debts'!$F$12&lt;&gt;"",'Your debts'!$F$11&lt;&gt;"",'Your debts'!$F$12&lt;'Your debts'!$F$11),AL153,0)+IF(AND('Your debts'!$F$13&lt;&gt;"",'Your debts'!$F$11&lt;&gt;"",'Your debts'!$F$13&lt;'Your debts'!$F$11),AQ153,0)+IF(AND('Your debts'!$F$14&lt;&gt;"",'Your debts'!$F$11&lt;&gt;"",'Your debts'!$F$14&lt;'Your debts'!$F$11),AV153,0)+IF(AND('Your debts'!$F$15&lt;&gt;"",'Your debts'!$F$11&lt;&gt;"",'Your debts'!$F$15&lt;'Your debts'!$F$11),BA153,0)))))</f>
        <v/>
      </c>
      <c r="AI153" s="33">
        <f>AG153-AH153</f>
        <v/>
      </c>
      <c r="AJ153" s="33">
        <f>IF(AN152&lt;=0,0,ROUND(AN152*(1+'Your debts'!$D$12/1200),2))</f>
        <v/>
      </c>
      <c r="AK153" s="33">
        <f>IF(AJ153&lt;=0,0,MIN('Your debts'!$E$12,AJ153))</f>
        <v/>
      </c>
      <c r="AL153" s="33">
        <f>AJ153-AK153</f>
        <v/>
      </c>
      <c r="AM153" s="33">
        <f>IF('Your debts'!$F$12="",0,MIN(AL153,MAX(0,MAX(0,'Your debts'!$C$19-(G153+L153+Q153+V153+AA153+AF153+AK153+AP153+AU153+AZ153))-(IF(AND('Your debts'!$F$6&lt;&gt;"",'Your debts'!$F$12&lt;&gt;"",'Your debts'!$F$6&lt;'Your debts'!$F$12),H153,0)+IF(AND('Your debts'!$F$7&lt;&gt;"",'Your debts'!$F$12&lt;&gt;"",'Your debts'!$F$7&lt;'Your debts'!$F$12),M153,0)+IF(AND('Your debts'!$F$8&lt;&gt;"",'Your debts'!$F$12&lt;&gt;"",'Your debts'!$F$8&lt;'Your debts'!$F$12),R153,0)+IF(AND('Your debts'!$F$9&lt;&gt;"",'Your debts'!$F$12&lt;&gt;"",'Your debts'!$F$9&lt;'Your debts'!$F$12),W153,0)+IF(AND('Your debts'!$F$10&lt;&gt;"",'Your debts'!$F$12&lt;&gt;"",'Your debts'!$F$10&lt;'Your debts'!$F$12),AB153,0)+IF(AND('Your debts'!$F$11&lt;&gt;"",'Your debts'!$F$12&lt;&gt;"",'Your debts'!$F$11&lt;'Your debts'!$F$12),AG153,0)+IF(AND('Your debts'!$F$13&lt;&gt;"",'Your debts'!$F$12&lt;&gt;"",'Your debts'!$F$13&lt;'Your debts'!$F$12),AQ153,0)+IF(AND('Your debts'!$F$14&lt;&gt;"",'Your debts'!$F$12&lt;&gt;"",'Your debts'!$F$14&lt;'Your debts'!$F$12),AV153,0)+IF(AND('Your debts'!$F$15&lt;&gt;"",'Your debts'!$F$12&lt;&gt;"",'Your debts'!$F$15&lt;'Your debts'!$F$12),BA153,0)))))</f>
        <v/>
      </c>
      <c r="AN153" s="33">
        <f>AL153-AM153</f>
        <v/>
      </c>
      <c r="AO153" s="33">
        <f>IF(AS152&lt;=0,0,ROUND(AS152*(1+'Your debts'!$D$13/1200),2))</f>
        <v/>
      </c>
      <c r="AP153" s="33">
        <f>IF(AO153&lt;=0,0,MIN('Your debts'!$E$13,AO153))</f>
        <v/>
      </c>
      <c r="AQ153" s="33">
        <f>AO153-AP153</f>
        <v/>
      </c>
      <c r="AR153" s="33">
        <f>IF('Your debts'!$F$13="",0,MIN(AQ153,MAX(0,MAX(0,'Your debts'!$C$19-(G153+L153+Q153+V153+AA153+AF153+AK153+AP153+AU153+AZ153))-(IF(AND('Your debts'!$F$6&lt;&gt;"",'Your debts'!$F$13&lt;&gt;"",'Your debts'!$F$6&lt;'Your debts'!$F$13),H153,0)+IF(AND('Your debts'!$F$7&lt;&gt;"",'Your debts'!$F$13&lt;&gt;"",'Your debts'!$F$7&lt;'Your debts'!$F$13),M153,0)+IF(AND('Your debts'!$F$8&lt;&gt;"",'Your debts'!$F$13&lt;&gt;"",'Your debts'!$F$8&lt;'Your debts'!$F$13),R153,0)+IF(AND('Your debts'!$F$9&lt;&gt;"",'Your debts'!$F$13&lt;&gt;"",'Your debts'!$F$9&lt;'Your debts'!$F$13),W153,0)+IF(AND('Your debts'!$F$10&lt;&gt;"",'Your debts'!$F$13&lt;&gt;"",'Your debts'!$F$10&lt;'Your debts'!$F$13),AB153,0)+IF(AND('Your debts'!$F$11&lt;&gt;"",'Your debts'!$F$13&lt;&gt;"",'Your debts'!$F$11&lt;'Your debts'!$F$13),AG153,0)+IF(AND('Your debts'!$F$12&lt;&gt;"",'Your debts'!$F$13&lt;&gt;"",'Your debts'!$F$12&lt;'Your debts'!$F$13),AL153,0)+IF(AND('Your debts'!$F$14&lt;&gt;"",'Your debts'!$F$13&lt;&gt;"",'Your debts'!$F$14&lt;'Your debts'!$F$13),AV153,0)+IF(AND('Your debts'!$F$15&lt;&gt;"",'Your debts'!$F$13&lt;&gt;"",'Your debts'!$F$15&lt;'Your debts'!$F$13),BA153,0)))))</f>
        <v/>
      </c>
      <c r="AS153" s="33">
        <f>AQ153-AR153</f>
        <v/>
      </c>
      <c r="AT153" s="33">
        <f>IF(AX152&lt;=0,0,ROUND(AX152*(1+'Your debts'!$D$14/1200),2))</f>
        <v/>
      </c>
      <c r="AU153" s="33">
        <f>IF(AT153&lt;=0,0,MIN('Your debts'!$E$14,AT153))</f>
        <v/>
      </c>
      <c r="AV153" s="33">
        <f>AT153-AU153</f>
        <v/>
      </c>
      <c r="AW153" s="33">
        <f>IF('Your debts'!$F$14="",0,MIN(AV153,MAX(0,MAX(0,'Your debts'!$C$19-(G153+L153+Q153+V153+AA153+AF153+AK153+AP153+AU153+AZ153))-(IF(AND('Your debts'!$F$6&lt;&gt;"",'Your debts'!$F$14&lt;&gt;"",'Your debts'!$F$6&lt;'Your debts'!$F$14),H153,0)+IF(AND('Your debts'!$F$7&lt;&gt;"",'Your debts'!$F$14&lt;&gt;"",'Your debts'!$F$7&lt;'Your debts'!$F$14),M153,0)+IF(AND('Your debts'!$F$8&lt;&gt;"",'Your debts'!$F$14&lt;&gt;"",'Your debts'!$F$8&lt;'Your debts'!$F$14),R153,0)+IF(AND('Your debts'!$F$9&lt;&gt;"",'Your debts'!$F$14&lt;&gt;"",'Your debts'!$F$9&lt;'Your debts'!$F$14),W153,0)+IF(AND('Your debts'!$F$10&lt;&gt;"",'Your debts'!$F$14&lt;&gt;"",'Your debts'!$F$10&lt;'Your debts'!$F$14),AB153,0)+IF(AND('Your debts'!$F$11&lt;&gt;"",'Your debts'!$F$14&lt;&gt;"",'Your debts'!$F$11&lt;'Your debts'!$F$14),AG153,0)+IF(AND('Your debts'!$F$12&lt;&gt;"",'Your debts'!$F$14&lt;&gt;"",'Your debts'!$F$12&lt;'Your debts'!$F$14),AL153,0)+IF(AND('Your debts'!$F$13&lt;&gt;"",'Your debts'!$F$14&lt;&gt;"",'Your debts'!$F$13&lt;'Your debts'!$F$14),AQ153,0)+IF(AND('Your debts'!$F$15&lt;&gt;"",'Your debts'!$F$14&lt;&gt;"",'Your debts'!$F$15&lt;'Your debts'!$F$14),BA153,0)))))</f>
        <v/>
      </c>
      <c r="AX153" s="33">
        <f>AV153-AW153</f>
        <v/>
      </c>
      <c r="AY153" s="33">
        <f>IF(BC152&lt;=0,0,ROUND(BC152*(1+'Your debts'!$D$15/1200),2))</f>
        <v/>
      </c>
      <c r="AZ153" s="33">
        <f>IF(AY153&lt;=0,0,MIN('Your debts'!$E$15,AY153))</f>
        <v/>
      </c>
      <c r="BA153" s="33">
        <f>AY153-AZ153</f>
        <v/>
      </c>
      <c r="BB153" s="33">
        <f>IF('Your debts'!$F$15="",0,MIN(BA153,MAX(0,MAX(0,'Your debts'!$C$19-(G153+L153+Q153+V153+AA153+AF153+AK153+AP153+AU153+AZ153))-(IF(AND('Your debts'!$F$6&lt;&gt;"",'Your debts'!$F$15&lt;&gt;"",'Your debts'!$F$6&lt;'Your debts'!$F$15),H153,0)+IF(AND('Your debts'!$F$7&lt;&gt;"",'Your debts'!$F$15&lt;&gt;"",'Your debts'!$F$7&lt;'Your debts'!$F$15),M153,0)+IF(AND('Your debts'!$F$8&lt;&gt;"",'Your debts'!$F$15&lt;&gt;"",'Your debts'!$F$8&lt;'Your debts'!$F$15),R153,0)+IF(AND('Your debts'!$F$9&lt;&gt;"",'Your debts'!$F$15&lt;&gt;"",'Your debts'!$F$9&lt;'Your debts'!$F$15),W153,0)+IF(AND('Your debts'!$F$10&lt;&gt;"",'Your debts'!$F$15&lt;&gt;"",'Your debts'!$F$10&lt;'Your debts'!$F$15),AB153,0)+IF(AND('Your debts'!$F$11&lt;&gt;"",'Your debts'!$F$15&lt;&gt;"",'Your debts'!$F$11&lt;'Your debts'!$F$15),AG153,0)+IF(AND('Your debts'!$F$12&lt;&gt;"",'Your debts'!$F$15&lt;&gt;"",'Your debts'!$F$12&lt;'Your debts'!$F$15),AL153,0)+IF(AND('Your debts'!$F$13&lt;&gt;"",'Your debts'!$F$15&lt;&gt;"",'Your debts'!$F$13&lt;'Your debts'!$F$15),AQ153,0)+IF(AND('Your debts'!$F$14&lt;&gt;"",'Your debts'!$F$15&lt;&gt;"",'Your debts'!$F$14&lt;'Your debts'!$F$15),AV153,0)))))</f>
        <v/>
      </c>
      <c r="BC153" s="33">
        <f>BA153-BB153</f>
        <v/>
      </c>
    </row>
    <row r="154">
      <c r="A154" s="30" t="n">
        <v>139</v>
      </c>
      <c r="B154" s="31">
        <f>EDATE($B$15,139)</f>
        <v/>
      </c>
      <c r="C154" s="32">
        <f>IF(J153&lt;=0,0,F154-J153)+IF(O153&lt;=0,0,K154-O153)+IF(T153&lt;=0,0,P154-T153)+IF(Y153&lt;=0,0,U154-Y153)+IF(AD153&lt;=0,0,Z154-AD153)+IF(AI153&lt;=0,0,AE154-AI153)+IF(AN153&lt;=0,0,AJ154-AN153)+IF(AS153&lt;=0,0,AO154-AS153)+IF(AX153&lt;=0,0,AT154-AX153)+IF(BC153&lt;=0,0,AY154-BC153)</f>
        <v/>
      </c>
      <c r="D154" s="32">
        <f>G154+I154+L154+N154+Q154+S154+V154+X154+AA154+AC154+AF154+AH154+AK154+AM154+AP154+AR154+AU154+AW154+AZ154+BB154</f>
        <v/>
      </c>
      <c r="E154" s="32">
        <f>J154+O154+T154+Y154+AD154+AI154+AN154+AS154+AX154+BC154</f>
        <v/>
      </c>
      <c r="F154" s="33">
        <f>IF(J153&lt;=0,0,ROUND(J153*(1+'Your debts'!$D$6/1200),2))</f>
        <v/>
      </c>
      <c r="G154" s="33">
        <f>IF(F154&lt;=0,0,MIN('Your debts'!$E$6,F154))</f>
        <v/>
      </c>
      <c r="H154" s="33">
        <f>F154-G154</f>
        <v/>
      </c>
      <c r="I154" s="33">
        <f>IF('Your debts'!$F$6="",0,MIN(H154,MAX(0,MAX(0,'Your debts'!$C$19-(G154+L154+Q154+V154+AA154+AF154+AK154+AP154+AU154+AZ154))-(IF(AND('Your debts'!$F$7&lt;&gt;"",'Your debts'!$F$6&lt;&gt;"",'Your debts'!$F$7&lt;'Your debts'!$F$6),M154,0)+IF(AND('Your debts'!$F$8&lt;&gt;"",'Your debts'!$F$6&lt;&gt;"",'Your debts'!$F$8&lt;'Your debts'!$F$6),R154,0)+IF(AND('Your debts'!$F$9&lt;&gt;"",'Your debts'!$F$6&lt;&gt;"",'Your debts'!$F$9&lt;'Your debts'!$F$6),W154,0)+IF(AND('Your debts'!$F$10&lt;&gt;"",'Your debts'!$F$6&lt;&gt;"",'Your debts'!$F$10&lt;'Your debts'!$F$6),AB154,0)+IF(AND('Your debts'!$F$11&lt;&gt;"",'Your debts'!$F$6&lt;&gt;"",'Your debts'!$F$11&lt;'Your debts'!$F$6),AG154,0)+IF(AND('Your debts'!$F$12&lt;&gt;"",'Your debts'!$F$6&lt;&gt;"",'Your debts'!$F$12&lt;'Your debts'!$F$6),AL154,0)+IF(AND('Your debts'!$F$13&lt;&gt;"",'Your debts'!$F$6&lt;&gt;"",'Your debts'!$F$13&lt;'Your debts'!$F$6),AQ154,0)+IF(AND('Your debts'!$F$14&lt;&gt;"",'Your debts'!$F$6&lt;&gt;"",'Your debts'!$F$14&lt;'Your debts'!$F$6),AV154,0)+IF(AND('Your debts'!$F$15&lt;&gt;"",'Your debts'!$F$6&lt;&gt;"",'Your debts'!$F$15&lt;'Your debts'!$F$6),BA154,0)))))</f>
        <v/>
      </c>
      <c r="J154" s="33">
        <f>H154-I154</f>
        <v/>
      </c>
      <c r="K154" s="33">
        <f>IF(O153&lt;=0,0,ROUND(O153*(1+'Your debts'!$D$7/1200),2))</f>
        <v/>
      </c>
      <c r="L154" s="33">
        <f>IF(K154&lt;=0,0,MIN('Your debts'!$E$7,K154))</f>
        <v/>
      </c>
      <c r="M154" s="33">
        <f>K154-L154</f>
        <v/>
      </c>
      <c r="N154" s="33">
        <f>IF('Your debts'!$F$7="",0,MIN(M154,MAX(0,MAX(0,'Your debts'!$C$19-(G154+L154+Q154+V154+AA154+AF154+AK154+AP154+AU154+AZ154))-(IF(AND('Your debts'!$F$6&lt;&gt;"",'Your debts'!$F$7&lt;&gt;"",'Your debts'!$F$6&lt;'Your debts'!$F$7),H154,0)+IF(AND('Your debts'!$F$8&lt;&gt;"",'Your debts'!$F$7&lt;&gt;"",'Your debts'!$F$8&lt;'Your debts'!$F$7),R154,0)+IF(AND('Your debts'!$F$9&lt;&gt;"",'Your debts'!$F$7&lt;&gt;"",'Your debts'!$F$9&lt;'Your debts'!$F$7),W154,0)+IF(AND('Your debts'!$F$10&lt;&gt;"",'Your debts'!$F$7&lt;&gt;"",'Your debts'!$F$10&lt;'Your debts'!$F$7),AB154,0)+IF(AND('Your debts'!$F$11&lt;&gt;"",'Your debts'!$F$7&lt;&gt;"",'Your debts'!$F$11&lt;'Your debts'!$F$7),AG154,0)+IF(AND('Your debts'!$F$12&lt;&gt;"",'Your debts'!$F$7&lt;&gt;"",'Your debts'!$F$12&lt;'Your debts'!$F$7),AL154,0)+IF(AND('Your debts'!$F$13&lt;&gt;"",'Your debts'!$F$7&lt;&gt;"",'Your debts'!$F$13&lt;'Your debts'!$F$7),AQ154,0)+IF(AND('Your debts'!$F$14&lt;&gt;"",'Your debts'!$F$7&lt;&gt;"",'Your debts'!$F$14&lt;'Your debts'!$F$7),AV154,0)+IF(AND('Your debts'!$F$15&lt;&gt;"",'Your debts'!$F$7&lt;&gt;"",'Your debts'!$F$15&lt;'Your debts'!$F$7),BA154,0)))))</f>
        <v/>
      </c>
      <c r="O154" s="33">
        <f>M154-N154</f>
        <v/>
      </c>
      <c r="P154" s="33">
        <f>IF(T153&lt;=0,0,ROUND(T153*(1+'Your debts'!$D$8/1200),2))</f>
        <v/>
      </c>
      <c r="Q154" s="33">
        <f>IF(P154&lt;=0,0,MIN('Your debts'!$E$8,P154))</f>
        <v/>
      </c>
      <c r="R154" s="33">
        <f>P154-Q154</f>
        <v/>
      </c>
      <c r="S154" s="33">
        <f>IF('Your debts'!$F$8="",0,MIN(R154,MAX(0,MAX(0,'Your debts'!$C$19-(G154+L154+Q154+V154+AA154+AF154+AK154+AP154+AU154+AZ154))-(IF(AND('Your debts'!$F$6&lt;&gt;"",'Your debts'!$F$8&lt;&gt;"",'Your debts'!$F$6&lt;'Your debts'!$F$8),H154,0)+IF(AND('Your debts'!$F$7&lt;&gt;"",'Your debts'!$F$8&lt;&gt;"",'Your debts'!$F$7&lt;'Your debts'!$F$8),M154,0)+IF(AND('Your debts'!$F$9&lt;&gt;"",'Your debts'!$F$8&lt;&gt;"",'Your debts'!$F$9&lt;'Your debts'!$F$8),W154,0)+IF(AND('Your debts'!$F$10&lt;&gt;"",'Your debts'!$F$8&lt;&gt;"",'Your debts'!$F$10&lt;'Your debts'!$F$8),AB154,0)+IF(AND('Your debts'!$F$11&lt;&gt;"",'Your debts'!$F$8&lt;&gt;"",'Your debts'!$F$11&lt;'Your debts'!$F$8),AG154,0)+IF(AND('Your debts'!$F$12&lt;&gt;"",'Your debts'!$F$8&lt;&gt;"",'Your debts'!$F$12&lt;'Your debts'!$F$8),AL154,0)+IF(AND('Your debts'!$F$13&lt;&gt;"",'Your debts'!$F$8&lt;&gt;"",'Your debts'!$F$13&lt;'Your debts'!$F$8),AQ154,0)+IF(AND('Your debts'!$F$14&lt;&gt;"",'Your debts'!$F$8&lt;&gt;"",'Your debts'!$F$14&lt;'Your debts'!$F$8),AV154,0)+IF(AND('Your debts'!$F$15&lt;&gt;"",'Your debts'!$F$8&lt;&gt;"",'Your debts'!$F$15&lt;'Your debts'!$F$8),BA154,0)))))</f>
        <v/>
      </c>
      <c r="T154" s="33">
        <f>R154-S154</f>
        <v/>
      </c>
      <c r="U154" s="33">
        <f>IF(Y153&lt;=0,0,ROUND(Y153*(1+'Your debts'!$D$9/1200),2))</f>
        <v/>
      </c>
      <c r="V154" s="33">
        <f>IF(U154&lt;=0,0,MIN('Your debts'!$E$9,U154))</f>
        <v/>
      </c>
      <c r="W154" s="33">
        <f>U154-V154</f>
        <v/>
      </c>
      <c r="X154" s="33">
        <f>IF('Your debts'!$F$9="",0,MIN(W154,MAX(0,MAX(0,'Your debts'!$C$19-(G154+L154+Q154+V154+AA154+AF154+AK154+AP154+AU154+AZ154))-(IF(AND('Your debts'!$F$6&lt;&gt;"",'Your debts'!$F$9&lt;&gt;"",'Your debts'!$F$6&lt;'Your debts'!$F$9),H154,0)+IF(AND('Your debts'!$F$7&lt;&gt;"",'Your debts'!$F$9&lt;&gt;"",'Your debts'!$F$7&lt;'Your debts'!$F$9),M154,0)+IF(AND('Your debts'!$F$8&lt;&gt;"",'Your debts'!$F$9&lt;&gt;"",'Your debts'!$F$8&lt;'Your debts'!$F$9),R154,0)+IF(AND('Your debts'!$F$10&lt;&gt;"",'Your debts'!$F$9&lt;&gt;"",'Your debts'!$F$10&lt;'Your debts'!$F$9),AB154,0)+IF(AND('Your debts'!$F$11&lt;&gt;"",'Your debts'!$F$9&lt;&gt;"",'Your debts'!$F$11&lt;'Your debts'!$F$9),AG154,0)+IF(AND('Your debts'!$F$12&lt;&gt;"",'Your debts'!$F$9&lt;&gt;"",'Your debts'!$F$12&lt;'Your debts'!$F$9),AL154,0)+IF(AND('Your debts'!$F$13&lt;&gt;"",'Your debts'!$F$9&lt;&gt;"",'Your debts'!$F$13&lt;'Your debts'!$F$9),AQ154,0)+IF(AND('Your debts'!$F$14&lt;&gt;"",'Your debts'!$F$9&lt;&gt;"",'Your debts'!$F$14&lt;'Your debts'!$F$9),AV154,0)+IF(AND('Your debts'!$F$15&lt;&gt;"",'Your debts'!$F$9&lt;&gt;"",'Your debts'!$F$15&lt;'Your debts'!$F$9),BA154,0)))))</f>
        <v/>
      </c>
      <c r="Y154" s="33">
        <f>W154-X154</f>
        <v/>
      </c>
      <c r="Z154" s="33">
        <f>IF(AD153&lt;=0,0,ROUND(AD153*(1+'Your debts'!$D$10/1200),2))</f>
        <v/>
      </c>
      <c r="AA154" s="33">
        <f>IF(Z154&lt;=0,0,MIN('Your debts'!$E$10,Z154))</f>
        <v/>
      </c>
      <c r="AB154" s="33">
        <f>Z154-AA154</f>
        <v/>
      </c>
      <c r="AC154" s="33">
        <f>IF('Your debts'!$F$10="",0,MIN(AB154,MAX(0,MAX(0,'Your debts'!$C$19-(G154+L154+Q154+V154+AA154+AF154+AK154+AP154+AU154+AZ154))-(IF(AND('Your debts'!$F$6&lt;&gt;"",'Your debts'!$F$10&lt;&gt;"",'Your debts'!$F$6&lt;'Your debts'!$F$10),H154,0)+IF(AND('Your debts'!$F$7&lt;&gt;"",'Your debts'!$F$10&lt;&gt;"",'Your debts'!$F$7&lt;'Your debts'!$F$10),M154,0)+IF(AND('Your debts'!$F$8&lt;&gt;"",'Your debts'!$F$10&lt;&gt;"",'Your debts'!$F$8&lt;'Your debts'!$F$10),R154,0)+IF(AND('Your debts'!$F$9&lt;&gt;"",'Your debts'!$F$10&lt;&gt;"",'Your debts'!$F$9&lt;'Your debts'!$F$10),W154,0)+IF(AND('Your debts'!$F$11&lt;&gt;"",'Your debts'!$F$10&lt;&gt;"",'Your debts'!$F$11&lt;'Your debts'!$F$10),AG154,0)+IF(AND('Your debts'!$F$12&lt;&gt;"",'Your debts'!$F$10&lt;&gt;"",'Your debts'!$F$12&lt;'Your debts'!$F$10),AL154,0)+IF(AND('Your debts'!$F$13&lt;&gt;"",'Your debts'!$F$10&lt;&gt;"",'Your debts'!$F$13&lt;'Your debts'!$F$10),AQ154,0)+IF(AND('Your debts'!$F$14&lt;&gt;"",'Your debts'!$F$10&lt;&gt;"",'Your debts'!$F$14&lt;'Your debts'!$F$10),AV154,0)+IF(AND('Your debts'!$F$15&lt;&gt;"",'Your debts'!$F$10&lt;&gt;"",'Your debts'!$F$15&lt;'Your debts'!$F$10),BA154,0)))))</f>
        <v/>
      </c>
      <c r="AD154" s="33">
        <f>AB154-AC154</f>
        <v/>
      </c>
      <c r="AE154" s="33">
        <f>IF(AI153&lt;=0,0,ROUND(AI153*(1+'Your debts'!$D$11/1200),2))</f>
        <v/>
      </c>
      <c r="AF154" s="33">
        <f>IF(AE154&lt;=0,0,MIN('Your debts'!$E$11,AE154))</f>
        <v/>
      </c>
      <c r="AG154" s="33">
        <f>AE154-AF154</f>
        <v/>
      </c>
      <c r="AH154" s="33">
        <f>IF('Your debts'!$F$11="",0,MIN(AG154,MAX(0,MAX(0,'Your debts'!$C$19-(G154+L154+Q154+V154+AA154+AF154+AK154+AP154+AU154+AZ154))-(IF(AND('Your debts'!$F$6&lt;&gt;"",'Your debts'!$F$11&lt;&gt;"",'Your debts'!$F$6&lt;'Your debts'!$F$11),H154,0)+IF(AND('Your debts'!$F$7&lt;&gt;"",'Your debts'!$F$11&lt;&gt;"",'Your debts'!$F$7&lt;'Your debts'!$F$11),M154,0)+IF(AND('Your debts'!$F$8&lt;&gt;"",'Your debts'!$F$11&lt;&gt;"",'Your debts'!$F$8&lt;'Your debts'!$F$11),R154,0)+IF(AND('Your debts'!$F$9&lt;&gt;"",'Your debts'!$F$11&lt;&gt;"",'Your debts'!$F$9&lt;'Your debts'!$F$11),W154,0)+IF(AND('Your debts'!$F$10&lt;&gt;"",'Your debts'!$F$11&lt;&gt;"",'Your debts'!$F$10&lt;'Your debts'!$F$11),AB154,0)+IF(AND('Your debts'!$F$12&lt;&gt;"",'Your debts'!$F$11&lt;&gt;"",'Your debts'!$F$12&lt;'Your debts'!$F$11),AL154,0)+IF(AND('Your debts'!$F$13&lt;&gt;"",'Your debts'!$F$11&lt;&gt;"",'Your debts'!$F$13&lt;'Your debts'!$F$11),AQ154,0)+IF(AND('Your debts'!$F$14&lt;&gt;"",'Your debts'!$F$11&lt;&gt;"",'Your debts'!$F$14&lt;'Your debts'!$F$11),AV154,0)+IF(AND('Your debts'!$F$15&lt;&gt;"",'Your debts'!$F$11&lt;&gt;"",'Your debts'!$F$15&lt;'Your debts'!$F$11),BA154,0)))))</f>
        <v/>
      </c>
      <c r="AI154" s="33">
        <f>AG154-AH154</f>
        <v/>
      </c>
      <c r="AJ154" s="33">
        <f>IF(AN153&lt;=0,0,ROUND(AN153*(1+'Your debts'!$D$12/1200),2))</f>
        <v/>
      </c>
      <c r="AK154" s="33">
        <f>IF(AJ154&lt;=0,0,MIN('Your debts'!$E$12,AJ154))</f>
        <v/>
      </c>
      <c r="AL154" s="33">
        <f>AJ154-AK154</f>
        <v/>
      </c>
      <c r="AM154" s="33">
        <f>IF('Your debts'!$F$12="",0,MIN(AL154,MAX(0,MAX(0,'Your debts'!$C$19-(G154+L154+Q154+V154+AA154+AF154+AK154+AP154+AU154+AZ154))-(IF(AND('Your debts'!$F$6&lt;&gt;"",'Your debts'!$F$12&lt;&gt;"",'Your debts'!$F$6&lt;'Your debts'!$F$12),H154,0)+IF(AND('Your debts'!$F$7&lt;&gt;"",'Your debts'!$F$12&lt;&gt;"",'Your debts'!$F$7&lt;'Your debts'!$F$12),M154,0)+IF(AND('Your debts'!$F$8&lt;&gt;"",'Your debts'!$F$12&lt;&gt;"",'Your debts'!$F$8&lt;'Your debts'!$F$12),R154,0)+IF(AND('Your debts'!$F$9&lt;&gt;"",'Your debts'!$F$12&lt;&gt;"",'Your debts'!$F$9&lt;'Your debts'!$F$12),W154,0)+IF(AND('Your debts'!$F$10&lt;&gt;"",'Your debts'!$F$12&lt;&gt;"",'Your debts'!$F$10&lt;'Your debts'!$F$12),AB154,0)+IF(AND('Your debts'!$F$11&lt;&gt;"",'Your debts'!$F$12&lt;&gt;"",'Your debts'!$F$11&lt;'Your debts'!$F$12),AG154,0)+IF(AND('Your debts'!$F$13&lt;&gt;"",'Your debts'!$F$12&lt;&gt;"",'Your debts'!$F$13&lt;'Your debts'!$F$12),AQ154,0)+IF(AND('Your debts'!$F$14&lt;&gt;"",'Your debts'!$F$12&lt;&gt;"",'Your debts'!$F$14&lt;'Your debts'!$F$12),AV154,0)+IF(AND('Your debts'!$F$15&lt;&gt;"",'Your debts'!$F$12&lt;&gt;"",'Your debts'!$F$15&lt;'Your debts'!$F$12),BA154,0)))))</f>
        <v/>
      </c>
      <c r="AN154" s="33">
        <f>AL154-AM154</f>
        <v/>
      </c>
      <c r="AO154" s="33">
        <f>IF(AS153&lt;=0,0,ROUND(AS153*(1+'Your debts'!$D$13/1200),2))</f>
        <v/>
      </c>
      <c r="AP154" s="33">
        <f>IF(AO154&lt;=0,0,MIN('Your debts'!$E$13,AO154))</f>
        <v/>
      </c>
      <c r="AQ154" s="33">
        <f>AO154-AP154</f>
        <v/>
      </c>
      <c r="AR154" s="33">
        <f>IF('Your debts'!$F$13="",0,MIN(AQ154,MAX(0,MAX(0,'Your debts'!$C$19-(G154+L154+Q154+V154+AA154+AF154+AK154+AP154+AU154+AZ154))-(IF(AND('Your debts'!$F$6&lt;&gt;"",'Your debts'!$F$13&lt;&gt;"",'Your debts'!$F$6&lt;'Your debts'!$F$13),H154,0)+IF(AND('Your debts'!$F$7&lt;&gt;"",'Your debts'!$F$13&lt;&gt;"",'Your debts'!$F$7&lt;'Your debts'!$F$13),M154,0)+IF(AND('Your debts'!$F$8&lt;&gt;"",'Your debts'!$F$13&lt;&gt;"",'Your debts'!$F$8&lt;'Your debts'!$F$13),R154,0)+IF(AND('Your debts'!$F$9&lt;&gt;"",'Your debts'!$F$13&lt;&gt;"",'Your debts'!$F$9&lt;'Your debts'!$F$13),W154,0)+IF(AND('Your debts'!$F$10&lt;&gt;"",'Your debts'!$F$13&lt;&gt;"",'Your debts'!$F$10&lt;'Your debts'!$F$13),AB154,0)+IF(AND('Your debts'!$F$11&lt;&gt;"",'Your debts'!$F$13&lt;&gt;"",'Your debts'!$F$11&lt;'Your debts'!$F$13),AG154,0)+IF(AND('Your debts'!$F$12&lt;&gt;"",'Your debts'!$F$13&lt;&gt;"",'Your debts'!$F$12&lt;'Your debts'!$F$13),AL154,0)+IF(AND('Your debts'!$F$14&lt;&gt;"",'Your debts'!$F$13&lt;&gt;"",'Your debts'!$F$14&lt;'Your debts'!$F$13),AV154,0)+IF(AND('Your debts'!$F$15&lt;&gt;"",'Your debts'!$F$13&lt;&gt;"",'Your debts'!$F$15&lt;'Your debts'!$F$13),BA154,0)))))</f>
        <v/>
      </c>
      <c r="AS154" s="33">
        <f>AQ154-AR154</f>
        <v/>
      </c>
      <c r="AT154" s="33">
        <f>IF(AX153&lt;=0,0,ROUND(AX153*(1+'Your debts'!$D$14/1200),2))</f>
        <v/>
      </c>
      <c r="AU154" s="33">
        <f>IF(AT154&lt;=0,0,MIN('Your debts'!$E$14,AT154))</f>
        <v/>
      </c>
      <c r="AV154" s="33">
        <f>AT154-AU154</f>
        <v/>
      </c>
      <c r="AW154" s="33">
        <f>IF('Your debts'!$F$14="",0,MIN(AV154,MAX(0,MAX(0,'Your debts'!$C$19-(G154+L154+Q154+V154+AA154+AF154+AK154+AP154+AU154+AZ154))-(IF(AND('Your debts'!$F$6&lt;&gt;"",'Your debts'!$F$14&lt;&gt;"",'Your debts'!$F$6&lt;'Your debts'!$F$14),H154,0)+IF(AND('Your debts'!$F$7&lt;&gt;"",'Your debts'!$F$14&lt;&gt;"",'Your debts'!$F$7&lt;'Your debts'!$F$14),M154,0)+IF(AND('Your debts'!$F$8&lt;&gt;"",'Your debts'!$F$14&lt;&gt;"",'Your debts'!$F$8&lt;'Your debts'!$F$14),R154,0)+IF(AND('Your debts'!$F$9&lt;&gt;"",'Your debts'!$F$14&lt;&gt;"",'Your debts'!$F$9&lt;'Your debts'!$F$14),W154,0)+IF(AND('Your debts'!$F$10&lt;&gt;"",'Your debts'!$F$14&lt;&gt;"",'Your debts'!$F$10&lt;'Your debts'!$F$14),AB154,0)+IF(AND('Your debts'!$F$11&lt;&gt;"",'Your debts'!$F$14&lt;&gt;"",'Your debts'!$F$11&lt;'Your debts'!$F$14),AG154,0)+IF(AND('Your debts'!$F$12&lt;&gt;"",'Your debts'!$F$14&lt;&gt;"",'Your debts'!$F$12&lt;'Your debts'!$F$14),AL154,0)+IF(AND('Your debts'!$F$13&lt;&gt;"",'Your debts'!$F$14&lt;&gt;"",'Your debts'!$F$13&lt;'Your debts'!$F$14),AQ154,0)+IF(AND('Your debts'!$F$15&lt;&gt;"",'Your debts'!$F$14&lt;&gt;"",'Your debts'!$F$15&lt;'Your debts'!$F$14),BA154,0)))))</f>
        <v/>
      </c>
      <c r="AX154" s="33">
        <f>AV154-AW154</f>
        <v/>
      </c>
      <c r="AY154" s="33">
        <f>IF(BC153&lt;=0,0,ROUND(BC153*(1+'Your debts'!$D$15/1200),2))</f>
        <v/>
      </c>
      <c r="AZ154" s="33">
        <f>IF(AY154&lt;=0,0,MIN('Your debts'!$E$15,AY154))</f>
        <v/>
      </c>
      <c r="BA154" s="33">
        <f>AY154-AZ154</f>
        <v/>
      </c>
      <c r="BB154" s="33">
        <f>IF('Your debts'!$F$15="",0,MIN(BA154,MAX(0,MAX(0,'Your debts'!$C$19-(G154+L154+Q154+V154+AA154+AF154+AK154+AP154+AU154+AZ154))-(IF(AND('Your debts'!$F$6&lt;&gt;"",'Your debts'!$F$15&lt;&gt;"",'Your debts'!$F$6&lt;'Your debts'!$F$15),H154,0)+IF(AND('Your debts'!$F$7&lt;&gt;"",'Your debts'!$F$15&lt;&gt;"",'Your debts'!$F$7&lt;'Your debts'!$F$15),M154,0)+IF(AND('Your debts'!$F$8&lt;&gt;"",'Your debts'!$F$15&lt;&gt;"",'Your debts'!$F$8&lt;'Your debts'!$F$15),R154,0)+IF(AND('Your debts'!$F$9&lt;&gt;"",'Your debts'!$F$15&lt;&gt;"",'Your debts'!$F$9&lt;'Your debts'!$F$15),W154,0)+IF(AND('Your debts'!$F$10&lt;&gt;"",'Your debts'!$F$15&lt;&gt;"",'Your debts'!$F$10&lt;'Your debts'!$F$15),AB154,0)+IF(AND('Your debts'!$F$11&lt;&gt;"",'Your debts'!$F$15&lt;&gt;"",'Your debts'!$F$11&lt;'Your debts'!$F$15),AG154,0)+IF(AND('Your debts'!$F$12&lt;&gt;"",'Your debts'!$F$15&lt;&gt;"",'Your debts'!$F$12&lt;'Your debts'!$F$15),AL154,0)+IF(AND('Your debts'!$F$13&lt;&gt;"",'Your debts'!$F$15&lt;&gt;"",'Your debts'!$F$13&lt;'Your debts'!$F$15),AQ154,0)+IF(AND('Your debts'!$F$14&lt;&gt;"",'Your debts'!$F$15&lt;&gt;"",'Your debts'!$F$14&lt;'Your debts'!$F$15),AV154,0)))))</f>
        <v/>
      </c>
      <c r="BC154" s="33">
        <f>BA154-BB154</f>
        <v/>
      </c>
    </row>
    <row r="155">
      <c r="A155" s="30" t="n">
        <v>140</v>
      </c>
      <c r="B155" s="31">
        <f>EDATE($B$15,140)</f>
        <v/>
      </c>
      <c r="C155" s="32">
        <f>IF(J154&lt;=0,0,F155-J154)+IF(O154&lt;=0,0,K155-O154)+IF(T154&lt;=0,0,P155-T154)+IF(Y154&lt;=0,0,U155-Y154)+IF(AD154&lt;=0,0,Z155-AD154)+IF(AI154&lt;=0,0,AE155-AI154)+IF(AN154&lt;=0,0,AJ155-AN154)+IF(AS154&lt;=0,0,AO155-AS154)+IF(AX154&lt;=0,0,AT155-AX154)+IF(BC154&lt;=0,0,AY155-BC154)</f>
        <v/>
      </c>
      <c r="D155" s="32">
        <f>G155+I155+L155+N155+Q155+S155+V155+X155+AA155+AC155+AF155+AH155+AK155+AM155+AP155+AR155+AU155+AW155+AZ155+BB155</f>
        <v/>
      </c>
      <c r="E155" s="32">
        <f>J155+O155+T155+Y155+AD155+AI155+AN155+AS155+AX155+BC155</f>
        <v/>
      </c>
      <c r="F155" s="33">
        <f>IF(J154&lt;=0,0,ROUND(J154*(1+'Your debts'!$D$6/1200),2))</f>
        <v/>
      </c>
      <c r="G155" s="33">
        <f>IF(F155&lt;=0,0,MIN('Your debts'!$E$6,F155))</f>
        <v/>
      </c>
      <c r="H155" s="33">
        <f>F155-G155</f>
        <v/>
      </c>
      <c r="I155" s="33">
        <f>IF('Your debts'!$F$6="",0,MIN(H155,MAX(0,MAX(0,'Your debts'!$C$19-(G155+L155+Q155+V155+AA155+AF155+AK155+AP155+AU155+AZ155))-(IF(AND('Your debts'!$F$7&lt;&gt;"",'Your debts'!$F$6&lt;&gt;"",'Your debts'!$F$7&lt;'Your debts'!$F$6),M155,0)+IF(AND('Your debts'!$F$8&lt;&gt;"",'Your debts'!$F$6&lt;&gt;"",'Your debts'!$F$8&lt;'Your debts'!$F$6),R155,0)+IF(AND('Your debts'!$F$9&lt;&gt;"",'Your debts'!$F$6&lt;&gt;"",'Your debts'!$F$9&lt;'Your debts'!$F$6),W155,0)+IF(AND('Your debts'!$F$10&lt;&gt;"",'Your debts'!$F$6&lt;&gt;"",'Your debts'!$F$10&lt;'Your debts'!$F$6),AB155,0)+IF(AND('Your debts'!$F$11&lt;&gt;"",'Your debts'!$F$6&lt;&gt;"",'Your debts'!$F$11&lt;'Your debts'!$F$6),AG155,0)+IF(AND('Your debts'!$F$12&lt;&gt;"",'Your debts'!$F$6&lt;&gt;"",'Your debts'!$F$12&lt;'Your debts'!$F$6),AL155,0)+IF(AND('Your debts'!$F$13&lt;&gt;"",'Your debts'!$F$6&lt;&gt;"",'Your debts'!$F$13&lt;'Your debts'!$F$6),AQ155,0)+IF(AND('Your debts'!$F$14&lt;&gt;"",'Your debts'!$F$6&lt;&gt;"",'Your debts'!$F$14&lt;'Your debts'!$F$6),AV155,0)+IF(AND('Your debts'!$F$15&lt;&gt;"",'Your debts'!$F$6&lt;&gt;"",'Your debts'!$F$15&lt;'Your debts'!$F$6),BA155,0)))))</f>
        <v/>
      </c>
      <c r="J155" s="33">
        <f>H155-I155</f>
        <v/>
      </c>
      <c r="K155" s="33">
        <f>IF(O154&lt;=0,0,ROUND(O154*(1+'Your debts'!$D$7/1200),2))</f>
        <v/>
      </c>
      <c r="L155" s="33">
        <f>IF(K155&lt;=0,0,MIN('Your debts'!$E$7,K155))</f>
        <v/>
      </c>
      <c r="M155" s="33">
        <f>K155-L155</f>
        <v/>
      </c>
      <c r="N155" s="33">
        <f>IF('Your debts'!$F$7="",0,MIN(M155,MAX(0,MAX(0,'Your debts'!$C$19-(G155+L155+Q155+V155+AA155+AF155+AK155+AP155+AU155+AZ155))-(IF(AND('Your debts'!$F$6&lt;&gt;"",'Your debts'!$F$7&lt;&gt;"",'Your debts'!$F$6&lt;'Your debts'!$F$7),H155,0)+IF(AND('Your debts'!$F$8&lt;&gt;"",'Your debts'!$F$7&lt;&gt;"",'Your debts'!$F$8&lt;'Your debts'!$F$7),R155,0)+IF(AND('Your debts'!$F$9&lt;&gt;"",'Your debts'!$F$7&lt;&gt;"",'Your debts'!$F$9&lt;'Your debts'!$F$7),W155,0)+IF(AND('Your debts'!$F$10&lt;&gt;"",'Your debts'!$F$7&lt;&gt;"",'Your debts'!$F$10&lt;'Your debts'!$F$7),AB155,0)+IF(AND('Your debts'!$F$11&lt;&gt;"",'Your debts'!$F$7&lt;&gt;"",'Your debts'!$F$11&lt;'Your debts'!$F$7),AG155,0)+IF(AND('Your debts'!$F$12&lt;&gt;"",'Your debts'!$F$7&lt;&gt;"",'Your debts'!$F$12&lt;'Your debts'!$F$7),AL155,0)+IF(AND('Your debts'!$F$13&lt;&gt;"",'Your debts'!$F$7&lt;&gt;"",'Your debts'!$F$13&lt;'Your debts'!$F$7),AQ155,0)+IF(AND('Your debts'!$F$14&lt;&gt;"",'Your debts'!$F$7&lt;&gt;"",'Your debts'!$F$14&lt;'Your debts'!$F$7),AV155,0)+IF(AND('Your debts'!$F$15&lt;&gt;"",'Your debts'!$F$7&lt;&gt;"",'Your debts'!$F$15&lt;'Your debts'!$F$7),BA155,0)))))</f>
        <v/>
      </c>
      <c r="O155" s="33">
        <f>M155-N155</f>
        <v/>
      </c>
      <c r="P155" s="33">
        <f>IF(T154&lt;=0,0,ROUND(T154*(1+'Your debts'!$D$8/1200),2))</f>
        <v/>
      </c>
      <c r="Q155" s="33">
        <f>IF(P155&lt;=0,0,MIN('Your debts'!$E$8,P155))</f>
        <v/>
      </c>
      <c r="R155" s="33">
        <f>P155-Q155</f>
        <v/>
      </c>
      <c r="S155" s="33">
        <f>IF('Your debts'!$F$8="",0,MIN(R155,MAX(0,MAX(0,'Your debts'!$C$19-(G155+L155+Q155+V155+AA155+AF155+AK155+AP155+AU155+AZ155))-(IF(AND('Your debts'!$F$6&lt;&gt;"",'Your debts'!$F$8&lt;&gt;"",'Your debts'!$F$6&lt;'Your debts'!$F$8),H155,0)+IF(AND('Your debts'!$F$7&lt;&gt;"",'Your debts'!$F$8&lt;&gt;"",'Your debts'!$F$7&lt;'Your debts'!$F$8),M155,0)+IF(AND('Your debts'!$F$9&lt;&gt;"",'Your debts'!$F$8&lt;&gt;"",'Your debts'!$F$9&lt;'Your debts'!$F$8),W155,0)+IF(AND('Your debts'!$F$10&lt;&gt;"",'Your debts'!$F$8&lt;&gt;"",'Your debts'!$F$10&lt;'Your debts'!$F$8),AB155,0)+IF(AND('Your debts'!$F$11&lt;&gt;"",'Your debts'!$F$8&lt;&gt;"",'Your debts'!$F$11&lt;'Your debts'!$F$8),AG155,0)+IF(AND('Your debts'!$F$12&lt;&gt;"",'Your debts'!$F$8&lt;&gt;"",'Your debts'!$F$12&lt;'Your debts'!$F$8),AL155,0)+IF(AND('Your debts'!$F$13&lt;&gt;"",'Your debts'!$F$8&lt;&gt;"",'Your debts'!$F$13&lt;'Your debts'!$F$8),AQ155,0)+IF(AND('Your debts'!$F$14&lt;&gt;"",'Your debts'!$F$8&lt;&gt;"",'Your debts'!$F$14&lt;'Your debts'!$F$8),AV155,0)+IF(AND('Your debts'!$F$15&lt;&gt;"",'Your debts'!$F$8&lt;&gt;"",'Your debts'!$F$15&lt;'Your debts'!$F$8),BA155,0)))))</f>
        <v/>
      </c>
      <c r="T155" s="33">
        <f>R155-S155</f>
        <v/>
      </c>
      <c r="U155" s="33">
        <f>IF(Y154&lt;=0,0,ROUND(Y154*(1+'Your debts'!$D$9/1200),2))</f>
        <v/>
      </c>
      <c r="V155" s="33">
        <f>IF(U155&lt;=0,0,MIN('Your debts'!$E$9,U155))</f>
        <v/>
      </c>
      <c r="W155" s="33">
        <f>U155-V155</f>
        <v/>
      </c>
      <c r="X155" s="33">
        <f>IF('Your debts'!$F$9="",0,MIN(W155,MAX(0,MAX(0,'Your debts'!$C$19-(G155+L155+Q155+V155+AA155+AF155+AK155+AP155+AU155+AZ155))-(IF(AND('Your debts'!$F$6&lt;&gt;"",'Your debts'!$F$9&lt;&gt;"",'Your debts'!$F$6&lt;'Your debts'!$F$9),H155,0)+IF(AND('Your debts'!$F$7&lt;&gt;"",'Your debts'!$F$9&lt;&gt;"",'Your debts'!$F$7&lt;'Your debts'!$F$9),M155,0)+IF(AND('Your debts'!$F$8&lt;&gt;"",'Your debts'!$F$9&lt;&gt;"",'Your debts'!$F$8&lt;'Your debts'!$F$9),R155,0)+IF(AND('Your debts'!$F$10&lt;&gt;"",'Your debts'!$F$9&lt;&gt;"",'Your debts'!$F$10&lt;'Your debts'!$F$9),AB155,0)+IF(AND('Your debts'!$F$11&lt;&gt;"",'Your debts'!$F$9&lt;&gt;"",'Your debts'!$F$11&lt;'Your debts'!$F$9),AG155,0)+IF(AND('Your debts'!$F$12&lt;&gt;"",'Your debts'!$F$9&lt;&gt;"",'Your debts'!$F$12&lt;'Your debts'!$F$9),AL155,0)+IF(AND('Your debts'!$F$13&lt;&gt;"",'Your debts'!$F$9&lt;&gt;"",'Your debts'!$F$13&lt;'Your debts'!$F$9),AQ155,0)+IF(AND('Your debts'!$F$14&lt;&gt;"",'Your debts'!$F$9&lt;&gt;"",'Your debts'!$F$14&lt;'Your debts'!$F$9),AV155,0)+IF(AND('Your debts'!$F$15&lt;&gt;"",'Your debts'!$F$9&lt;&gt;"",'Your debts'!$F$15&lt;'Your debts'!$F$9),BA155,0)))))</f>
        <v/>
      </c>
      <c r="Y155" s="33">
        <f>W155-X155</f>
        <v/>
      </c>
      <c r="Z155" s="33">
        <f>IF(AD154&lt;=0,0,ROUND(AD154*(1+'Your debts'!$D$10/1200),2))</f>
        <v/>
      </c>
      <c r="AA155" s="33">
        <f>IF(Z155&lt;=0,0,MIN('Your debts'!$E$10,Z155))</f>
        <v/>
      </c>
      <c r="AB155" s="33">
        <f>Z155-AA155</f>
        <v/>
      </c>
      <c r="AC155" s="33">
        <f>IF('Your debts'!$F$10="",0,MIN(AB155,MAX(0,MAX(0,'Your debts'!$C$19-(G155+L155+Q155+V155+AA155+AF155+AK155+AP155+AU155+AZ155))-(IF(AND('Your debts'!$F$6&lt;&gt;"",'Your debts'!$F$10&lt;&gt;"",'Your debts'!$F$6&lt;'Your debts'!$F$10),H155,0)+IF(AND('Your debts'!$F$7&lt;&gt;"",'Your debts'!$F$10&lt;&gt;"",'Your debts'!$F$7&lt;'Your debts'!$F$10),M155,0)+IF(AND('Your debts'!$F$8&lt;&gt;"",'Your debts'!$F$10&lt;&gt;"",'Your debts'!$F$8&lt;'Your debts'!$F$10),R155,0)+IF(AND('Your debts'!$F$9&lt;&gt;"",'Your debts'!$F$10&lt;&gt;"",'Your debts'!$F$9&lt;'Your debts'!$F$10),W155,0)+IF(AND('Your debts'!$F$11&lt;&gt;"",'Your debts'!$F$10&lt;&gt;"",'Your debts'!$F$11&lt;'Your debts'!$F$10),AG155,0)+IF(AND('Your debts'!$F$12&lt;&gt;"",'Your debts'!$F$10&lt;&gt;"",'Your debts'!$F$12&lt;'Your debts'!$F$10),AL155,0)+IF(AND('Your debts'!$F$13&lt;&gt;"",'Your debts'!$F$10&lt;&gt;"",'Your debts'!$F$13&lt;'Your debts'!$F$10),AQ155,0)+IF(AND('Your debts'!$F$14&lt;&gt;"",'Your debts'!$F$10&lt;&gt;"",'Your debts'!$F$14&lt;'Your debts'!$F$10),AV155,0)+IF(AND('Your debts'!$F$15&lt;&gt;"",'Your debts'!$F$10&lt;&gt;"",'Your debts'!$F$15&lt;'Your debts'!$F$10),BA155,0)))))</f>
        <v/>
      </c>
      <c r="AD155" s="33">
        <f>AB155-AC155</f>
        <v/>
      </c>
      <c r="AE155" s="33">
        <f>IF(AI154&lt;=0,0,ROUND(AI154*(1+'Your debts'!$D$11/1200),2))</f>
        <v/>
      </c>
      <c r="AF155" s="33">
        <f>IF(AE155&lt;=0,0,MIN('Your debts'!$E$11,AE155))</f>
        <v/>
      </c>
      <c r="AG155" s="33">
        <f>AE155-AF155</f>
        <v/>
      </c>
      <c r="AH155" s="33">
        <f>IF('Your debts'!$F$11="",0,MIN(AG155,MAX(0,MAX(0,'Your debts'!$C$19-(G155+L155+Q155+V155+AA155+AF155+AK155+AP155+AU155+AZ155))-(IF(AND('Your debts'!$F$6&lt;&gt;"",'Your debts'!$F$11&lt;&gt;"",'Your debts'!$F$6&lt;'Your debts'!$F$11),H155,0)+IF(AND('Your debts'!$F$7&lt;&gt;"",'Your debts'!$F$11&lt;&gt;"",'Your debts'!$F$7&lt;'Your debts'!$F$11),M155,0)+IF(AND('Your debts'!$F$8&lt;&gt;"",'Your debts'!$F$11&lt;&gt;"",'Your debts'!$F$8&lt;'Your debts'!$F$11),R155,0)+IF(AND('Your debts'!$F$9&lt;&gt;"",'Your debts'!$F$11&lt;&gt;"",'Your debts'!$F$9&lt;'Your debts'!$F$11),W155,0)+IF(AND('Your debts'!$F$10&lt;&gt;"",'Your debts'!$F$11&lt;&gt;"",'Your debts'!$F$10&lt;'Your debts'!$F$11),AB155,0)+IF(AND('Your debts'!$F$12&lt;&gt;"",'Your debts'!$F$11&lt;&gt;"",'Your debts'!$F$12&lt;'Your debts'!$F$11),AL155,0)+IF(AND('Your debts'!$F$13&lt;&gt;"",'Your debts'!$F$11&lt;&gt;"",'Your debts'!$F$13&lt;'Your debts'!$F$11),AQ155,0)+IF(AND('Your debts'!$F$14&lt;&gt;"",'Your debts'!$F$11&lt;&gt;"",'Your debts'!$F$14&lt;'Your debts'!$F$11),AV155,0)+IF(AND('Your debts'!$F$15&lt;&gt;"",'Your debts'!$F$11&lt;&gt;"",'Your debts'!$F$15&lt;'Your debts'!$F$11),BA155,0)))))</f>
        <v/>
      </c>
      <c r="AI155" s="33">
        <f>AG155-AH155</f>
        <v/>
      </c>
      <c r="AJ155" s="33">
        <f>IF(AN154&lt;=0,0,ROUND(AN154*(1+'Your debts'!$D$12/1200),2))</f>
        <v/>
      </c>
      <c r="AK155" s="33">
        <f>IF(AJ155&lt;=0,0,MIN('Your debts'!$E$12,AJ155))</f>
        <v/>
      </c>
      <c r="AL155" s="33">
        <f>AJ155-AK155</f>
        <v/>
      </c>
      <c r="AM155" s="33">
        <f>IF('Your debts'!$F$12="",0,MIN(AL155,MAX(0,MAX(0,'Your debts'!$C$19-(G155+L155+Q155+V155+AA155+AF155+AK155+AP155+AU155+AZ155))-(IF(AND('Your debts'!$F$6&lt;&gt;"",'Your debts'!$F$12&lt;&gt;"",'Your debts'!$F$6&lt;'Your debts'!$F$12),H155,0)+IF(AND('Your debts'!$F$7&lt;&gt;"",'Your debts'!$F$12&lt;&gt;"",'Your debts'!$F$7&lt;'Your debts'!$F$12),M155,0)+IF(AND('Your debts'!$F$8&lt;&gt;"",'Your debts'!$F$12&lt;&gt;"",'Your debts'!$F$8&lt;'Your debts'!$F$12),R155,0)+IF(AND('Your debts'!$F$9&lt;&gt;"",'Your debts'!$F$12&lt;&gt;"",'Your debts'!$F$9&lt;'Your debts'!$F$12),W155,0)+IF(AND('Your debts'!$F$10&lt;&gt;"",'Your debts'!$F$12&lt;&gt;"",'Your debts'!$F$10&lt;'Your debts'!$F$12),AB155,0)+IF(AND('Your debts'!$F$11&lt;&gt;"",'Your debts'!$F$12&lt;&gt;"",'Your debts'!$F$11&lt;'Your debts'!$F$12),AG155,0)+IF(AND('Your debts'!$F$13&lt;&gt;"",'Your debts'!$F$12&lt;&gt;"",'Your debts'!$F$13&lt;'Your debts'!$F$12),AQ155,0)+IF(AND('Your debts'!$F$14&lt;&gt;"",'Your debts'!$F$12&lt;&gt;"",'Your debts'!$F$14&lt;'Your debts'!$F$12),AV155,0)+IF(AND('Your debts'!$F$15&lt;&gt;"",'Your debts'!$F$12&lt;&gt;"",'Your debts'!$F$15&lt;'Your debts'!$F$12),BA155,0)))))</f>
        <v/>
      </c>
      <c r="AN155" s="33">
        <f>AL155-AM155</f>
        <v/>
      </c>
      <c r="AO155" s="33">
        <f>IF(AS154&lt;=0,0,ROUND(AS154*(1+'Your debts'!$D$13/1200),2))</f>
        <v/>
      </c>
      <c r="AP155" s="33">
        <f>IF(AO155&lt;=0,0,MIN('Your debts'!$E$13,AO155))</f>
        <v/>
      </c>
      <c r="AQ155" s="33">
        <f>AO155-AP155</f>
        <v/>
      </c>
      <c r="AR155" s="33">
        <f>IF('Your debts'!$F$13="",0,MIN(AQ155,MAX(0,MAX(0,'Your debts'!$C$19-(G155+L155+Q155+V155+AA155+AF155+AK155+AP155+AU155+AZ155))-(IF(AND('Your debts'!$F$6&lt;&gt;"",'Your debts'!$F$13&lt;&gt;"",'Your debts'!$F$6&lt;'Your debts'!$F$13),H155,0)+IF(AND('Your debts'!$F$7&lt;&gt;"",'Your debts'!$F$13&lt;&gt;"",'Your debts'!$F$7&lt;'Your debts'!$F$13),M155,0)+IF(AND('Your debts'!$F$8&lt;&gt;"",'Your debts'!$F$13&lt;&gt;"",'Your debts'!$F$8&lt;'Your debts'!$F$13),R155,0)+IF(AND('Your debts'!$F$9&lt;&gt;"",'Your debts'!$F$13&lt;&gt;"",'Your debts'!$F$9&lt;'Your debts'!$F$13),W155,0)+IF(AND('Your debts'!$F$10&lt;&gt;"",'Your debts'!$F$13&lt;&gt;"",'Your debts'!$F$10&lt;'Your debts'!$F$13),AB155,0)+IF(AND('Your debts'!$F$11&lt;&gt;"",'Your debts'!$F$13&lt;&gt;"",'Your debts'!$F$11&lt;'Your debts'!$F$13),AG155,0)+IF(AND('Your debts'!$F$12&lt;&gt;"",'Your debts'!$F$13&lt;&gt;"",'Your debts'!$F$12&lt;'Your debts'!$F$13),AL155,0)+IF(AND('Your debts'!$F$14&lt;&gt;"",'Your debts'!$F$13&lt;&gt;"",'Your debts'!$F$14&lt;'Your debts'!$F$13),AV155,0)+IF(AND('Your debts'!$F$15&lt;&gt;"",'Your debts'!$F$13&lt;&gt;"",'Your debts'!$F$15&lt;'Your debts'!$F$13),BA155,0)))))</f>
        <v/>
      </c>
      <c r="AS155" s="33">
        <f>AQ155-AR155</f>
        <v/>
      </c>
      <c r="AT155" s="33">
        <f>IF(AX154&lt;=0,0,ROUND(AX154*(1+'Your debts'!$D$14/1200),2))</f>
        <v/>
      </c>
      <c r="AU155" s="33">
        <f>IF(AT155&lt;=0,0,MIN('Your debts'!$E$14,AT155))</f>
        <v/>
      </c>
      <c r="AV155" s="33">
        <f>AT155-AU155</f>
        <v/>
      </c>
      <c r="AW155" s="33">
        <f>IF('Your debts'!$F$14="",0,MIN(AV155,MAX(0,MAX(0,'Your debts'!$C$19-(G155+L155+Q155+V155+AA155+AF155+AK155+AP155+AU155+AZ155))-(IF(AND('Your debts'!$F$6&lt;&gt;"",'Your debts'!$F$14&lt;&gt;"",'Your debts'!$F$6&lt;'Your debts'!$F$14),H155,0)+IF(AND('Your debts'!$F$7&lt;&gt;"",'Your debts'!$F$14&lt;&gt;"",'Your debts'!$F$7&lt;'Your debts'!$F$14),M155,0)+IF(AND('Your debts'!$F$8&lt;&gt;"",'Your debts'!$F$14&lt;&gt;"",'Your debts'!$F$8&lt;'Your debts'!$F$14),R155,0)+IF(AND('Your debts'!$F$9&lt;&gt;"",'Your debts'!$F$14&lt;&gt;"",'Your debts'!$F$9&lt;'Your debts'!$F$14),W155,0)+IF(AND('Your debts'!$F$10&lt;&gt;"",'Your debts'!$F$14&lt;&gt;"",'Your debts'!$F$10&lt;'Your debts'!$F$14),AB155,0)+IF(AND('Your debts'!$F$11&lt;&gt;"",'Your debts'!$F$14&lt;&gt;"",'Your debts'!$F$11&lt;'Your debts'!$F$14),AG155,0)+IF(AND('Your debts'!$F$12&lt;&gt;"",'Your debts'!$F$14&lt;&gt;"",'Your debts'!$F$12&lt;'Your debts'!$F$14),AL155,0)+IF(AND('Your debts'!$F$13&lt;&gt;"",'Your debts'!$F$14&lt;&gt;"",'Your debts'!$F$13&lt;'Your debts'!$F$14),AQ155,0)+IF(AND('Your debts'!$F$15&lt;&gt;"",'Your debts'!$F$14&lt;&gt;"",'Your debts'!$F$15&lt;'Your debts'!$F$14),BA155,0)))))</f>
        <v/>
      </c>
      <c r="AX155" s="33">
        <f>AV155-AW155</f>
        <v/>
      </c>
      <c r="AY155" s="33">
        <f>IF(BC154&lt;=0,0,ROUND(BC154*(1+'Your debts'!$D$15/1200),2))</f>
        <v/>
      </c>
      <c r="AZ155" s="33">
        <f>IF(AY155&lt;=0,0,MIN('Your debts'!$E$15,AY155))</f>
        <v/>
      </c>
      <c r="BA155" s="33">
        <f>AY155-AZ155</f>
        <v/>
      </c>
      <c r="BB155" s="33">
        <f>IF('Your debts'!$F$15="",0,MIN(BA155,MAX(0,MAX(0,'Your debts'!$C$19-(G155+L155+Q155+V155+AA155+AF155+AK155+AP155+AU155+AZ155))-(IF(AND('Your debts'!$F$6&lt;&gt;"",'Your debts'!$F$15&lt;&gt;"",'Your debts'!$F$6&lt;'Your debts'!$F$15),H155,0)+IF(AND('Your debts'!$F$7&lt;&gt;"",'Your debts'!$F$15&lt;&gt;"",'Your debts'!$F$7&lt;'Your debts'!$F$15),M155,0)+IF(AND('Your debts'!$F$8&lt;&gt;"",'Your debts'!$F$15&lt;&gt;"",'Your debts'!$F$8&lt;'Your debts'!$F$15),R155,0)+IF(AND('Your debts'!$F$9&lt;&gt;"",'Your debts'!$F$15&lt;&gt;"",'Your debts'!$F$9&lt;'Your debts'!$F$15),W155,0)+IF(AND('Your debts'!$F$10&lt;&gt;"",'Your debts'!$F$15&lt;&gt;"",'Your debts'!$F$10&lt;'Your debts'!$F$15),AB155,0)+IF(AND('Your debts'!$F$11&lt;&gt;"",'Your debts'!$F$15&lt;&gt;"",'Your debts'!$F$11&lt;'Your debts'!$F$15),AG155,0)+IF(AND('Your debts'!$F$12&lt;&gt;"",'Your debts'!$F$15&lt;&gt;"",'Your debts'!$F$12&lt;'Your debts'!$F$15),AL155,0)+IF(AND('Your debts'!$F$13&lt;&gt;"",'Your debts'!$F$15&lt;&gt;"",'Your debts'!$F$13&lt;'Your debts'!$F$15),AQ155,0)+IF(AND('Your debts'!$F$14&lt;&gt;"",'Your debts'!$F$15&lt;&gt;"",'Your debts'!$F$14&lt;'Your debts'!$F$15),AV155,0)))))</f>
        <v/>
      </c>
      <c r="BC155" s="33">
        <f>BA155-BB155</f>
        <v/>
      </c>
    </row>
    <row r="156">
      <c r="A156" s="30" t="n">
        <v>141</v>
      </c>
      <c r="B156" s="31">
        <f>EDATE($B$15,141)</f>
        <v/>
      </c>
      <c r="C156" s="32">
        <f>IF(J155&lt;=0,0,F156-J155)+IF(O155&lt;=0,0,K156-O155)+IF(T155&lt;=0,0,P156-T155)+IF(Y155&lt;=0,0,U156-Y155)+IF(AD155&lt;=0,0,Z156-AD155)+IF(AI155&lt;=0,0,AE156-AI155)+IF(AN155&lt;=0,0,AJ156-AN155)+IF(AS155&lt;=0,0,AO156-AS155)+IF(AX155&lt;=0,0,AT156-AX155)+IF(BC155&lt;=0,0,AY156-BC155)</f>
        <v/>
      </c>
      <c r="D156" s="32">
        <f>G156+I156+L156+N156+Q156+S156+V156+X156+AA156+AC156+AF156+AH156+AK156+AM156+AP156+AR156+AU156+AW156+AZ156+BB156</f>
        <v/>
      </c>
      <c r="E156" s="32">
        <f>J156+O156+T156+Y156+AD156+AI156+AN156+AS156+AX156+BC156</f>
        <v/>
      </c>
      <c r="F156" s="33">
        <f>IF(J155&lt;=0,0,ROUND(J155*(1+'Your debts'!$D$6/1200),2))</f>
        <v/>
      </c>
      <c r="G156" s="33">
        <f>IF(F156&lt;=0,0,MIN('Your debts'!$E$6,F156))</f>
        <v/>
      </c>
      <c r="H156" s="33">
        <f>F156-G156</f>
        <v/>
      </c>
      <c r="I156" s="33">
        <f>IF('Your debts'!$F$6="",0,MIN(H156,MAX(0,MAX(0,'Your debts'!$C$19-(G156+L156+Q156+V156+AA156+AF156+AK156+AP156+AU156+AZ156))-(IF(AND('Your debts'!$F$7&lt;&gt;"",'Your debts'!$F$6&lt;&gt;"",'Your debts'!$F$7&lt;'Your debts'!$F$6),M156,0)+IF(AND('Your debts'!$F$8&lt;&gt;"",'Your debts'!$F$6&lt;&gt;"",'Your debts'!$F$8&lt;'Your debts'!$F$6),R156,0)+IF(AND('Your debts'!$F$9&lt;&gt;"",'Your debts'!$F$6&lt;&gt;"",'Your debts'!$F$9&lt;'Your debts'!$F$6),W156,0)+IF(AND('Your debts'!$F$10&lt;&gt;"",'Your debts'!$F$6&lt;&gt;"",'Your debts'!$F$10&lt;'Your debts'!$F$6),AB156,0)+IF(AND('Your debts'!$F$11&lt;&gt;"",'Your debts'!$F$6&lt;&gt;"",'Your debts'!$F$11&lt;'Your debts'!$F$6),AG156,0)+IF(AND('Your debts'!$F$12&lt;&gt;"",'Your debts'!$F$6&lt;&gt;"",'Your debts'!$F$12&lt;'Your debts'!$F$6),AL156,0)+IF(AND('Your debts'!$F$13&lt;&gt;"",'Your debts'!$F$6&lt;&gt;"",'Your debts'!$F$13&lt;'Your debts'!$F$6),AQ156,0)+IF(AND('Your debts'!$F$14&lt;&gt;"",'Your debts'!$F$6&lt;&gt;"",'Your debts'!$F$14&lt;'Your debts'!$F$6),AV156,0)+IF(AND('Your debts'!$F$15&lt;&gt;"",'Your debts'!$F$6&lt;&gt;"",'Your debts'!$F$15&lt;'Your debts'!$F$6),BA156,0)))))</f>
        <v/>
      </c>
      <c r="J156" s="33">
        <f>H156-I156</f>
        <v/>
      </c>
      <c r="K156" s="33">
        <f>IF(O155&lt;=0,0,ROUND(O155*(1+'Your debts'!$D$7/1200),2))</f>
        <v/>
      </c>
      <c r="L156" s="33">
        <f>IF(K156&lt;=0,0,MIN('Your debts'!$E$7,K156))</f>
        <v/>
      </c>
      <c r="M156" s="33">
        <f>K156-L156</f>
        <v/>
      </c>
      <c r="N156" s="33">
        <f>IF('Your debts'!$F$7="",0,MIN(M156,MAX(0,MAX(0,'Your debts'!$C$19-(G156+L156+Q156+V156+AA156+AF156+AK156+AP156+AU156+AZ156))-(IF(AND('Your debts'!$F$6&lt;&gt;"",'Your debts'!$F$7&lt;&gt;"",'Your debts'!$F$6&lt;'Your debts'!$F$7),H156,0)+IF(AND('Your debts'!$F$8&lt;&gt;"",'Your debts'!$F$7&lt;&gt;"",'Your debts'!$F$8&lt;'Your debts'!$F$7),R156,0)+IF(AND('Your debts'!$F$9&lt;&gt;"",'Your debts'!$F$7&lt;&gt;"",'Your debts'!$F$9&lt;'Your debts'!$F$7),W156,0)+IF(AND('Your debts'!$F$10&lt;&gt;"",'Your debts'!$F$7&lt;&gt;"",'Your debts'!$F$10&lt;'Your debts'!$F$7),AB156,0)+IF(AND('Your debts'!$F$11&lt;&gt;"",'Your debts'!$F$7&lt;&gt;"",'Your debts'!$F$11&lt;'Your debts'!$F$7),AG156,0)+IF(AND('Your debts'!$F$12&lt;&gt;"",'Your debts'!$F$7&lt;&gt;"",'Your debts'!$F$12&lt;'Your debts'!$F$7),AL156,0)+IF(AND('Your debts'!$F$13&lt;&gt;"",'Your debts'!$F$7&lt;&gt;"",'Your debts'!$F$13&lt;'Your debts'!$F$7),AQ156,0)+IF(AND('Your debts'!$F$14&lt;&gt;"",'Your debts'!$F$7&lt;&gt;"",'Your debts'!$F$14&lt;'Your debts'!$F$7),AV156,0)+IF(AND('Your debts'!$F$15&lt;&gt;"",'Your debts'!$F$7&lt;&gt;"",'Your debts'!$F$15&lt;'Your debts'!$F$7),BA156,0)))))</f>
        <v/>
      </c>
      <c r="O156" s="33">
        <f>M156-N156</f>
        <v/>
      </c>
      <c r="P156" s="33">
        <f>IF(T155&lt;=0,0,ROUND(T155*(1+'Your debts'!$D$8/1200),2))</f>
        <v/>
      </c>
      <c r="Q156" s="33">
        <f>IF(P156&lt;=0,0,MIN('Your debts'!$E$8,P156))</f>
        <v/>
      </c>
      <c r="R156" s="33">
        <f>P156-Q156</f>
        <v/>
      </c>
      <c r="S156" s="33">
        <f>IF('Your debts'!$F$8="",0,MIN(R156,MAX(0,MAX(0,'Your debts'!$C$19-(G156+L156+Q156+V156+AA156+AF156+AK156+AP156+AU156+AZ156))-(IF(AND('Your debts'!$F$6&lt;&gt;"",'Your debts'!$F$8&lt;&gt;"",'Your debts'!$F$6&lt;'Your debts'!$F$8),H156,0)+IF(AND('Your debts'!$F$7&lt;&gt;"",'Your debts'!$F$8&lt;&gt;"",'Your debts'!$F$7&lt;'Your debts'!$F$8),M156,0)+IF(AND('Your debts'!$F$9&lt;&gt;"",'Your debts'!$F$8&lt;&gt;"",'Your debts'!$F$9&lt;'Your debts'!$F$8),W156,0)+IF(AND('Your debts'!$F$10&lt;&gt;"",'Your debts'!$F$8&lt;&gt;"",'Your debts'!$F$10&lt;'Your debts'!$F$8),AB156,0)+IF(AND('Your debts'!$F$11&lt;&gt;"",'Your debts'!$F$8&lt;&gt;"",'Your debts'!$F$11&lt;'Your debts'!$F$8),AG156,0)+IF(AND('Your debts'!$F$12&lt;&gt;"",'Your debts'!$F$8&lt;&gt;"",'Your debts'!$F$12&lt;'Your debts'!$F$8),AL156,0)+IF(AND('Your debts'!$F$13&lt;&gt;"",'Your debts'!$F$8&lt;&gt;"",'Your debts'!$F$13&lt;'Your debts'!$F$8),AQ156,0)+IF(AND('Your debts'!$F$14&lt;&gt;"",'Your debts'!$F$8&lt;&gt;"",'Your debts'!$F$14&lt;'Your debts'!$F$8),AV156,0)+IF(AND('Your debts'!$F$15&lt;&gt;"",'Your debts'!$F$8&lt;&gt;"",'Your debts'!$F$15&lt;'Your debts'!$F$8),BA156,0)))))</f>
        <v/>
      </c>
      <c r="T156" s="33">
        <f>R156-S156</f>
        <v/>
      </c>
      <c r="U156" s="33">
        <f>IF(Y155&lt;=0,0,ROUND(Y155*(1+'Your debts'!$D$9/1200),2))</f>
        <v/>
      </c>
      <c r="V156" s="33">
        <f>IF(U156&lt;=0,0,MIN('Your debts'!$E$9,U156))</f>
        <v/>
      </c>
      <c r="W156" s="33">
        <f>U156-V156</f>
        <v/>
      </c>
      <c r="X156" s="33">
        <f>IF('Your debts'!$F$9="",0,MIN(W156,MAX(0,MAX(0,'Your debts'!$C$19-(G156+L156+Q156+V156+AA156+AF156+AK156+AP156+AU156+AZ156))-(IF(AND('Your debts'!$F$6&lt;&gt;"",'Your debts'!$F$9&lt;&gt;"",'Your debts'!$F$6&lt;'Your debts'!$F$9),H156,0)+IF(AND('Your debts'!$F$7&lt;&gt;"",'Your debts'!$F$9&lt;&gt;"",'Your debts'!$F$7&lt;'Your debts'!$F$9),M156,0)+IF(AND('Your debts'!$F$8&lt;&gt;"",'Your debts'!$F$9&lt;&gt;"",'Your debts'!$F$8&lt;'Your debts'!$F$9),R156,0)+IF(AND('Your debts'!$F$10&lt;&gt;"",'Your debts'!$F$9&lt;&gt;"",'Your debts'!$F$10&lt;'Your debts'!$F$9),AB156,0)+IF(AND('Your debts'!$F$11&lt;&gt;"",'Your debts'!$F$9&lt;&gt;"",'Your debts'!$F$11&lt;'Your debts'!$F$9),AG156,0)+IF(AND('Your debts'!$F$12&lt;&gt;"",'Your debts'!$F$9&lt;&gt;"",'Your debts'!$F$12&lt;'Your debts'!$F$9),AL156,0)+IF(AND('Your debts'!$F$13&lt;&gt;"",'Your debts'!$F$9&lt;&gt;"",'Your debts'!$F$13&lt;'Your debts'!$F$9),AQ156,0)+IF(AND('Your debts'!$F$14&lt;&gt;"",'Your debts'!$F$9&lt;&gt;"",'Your debts'!$F$14&lt;'Your debts'!$F$9),AV156,0)+IF(AND('Your debts'!$F$15&lt;&gt;"",'Your debts'!$F$9&lt;&gt;"",'Your debts'!$F$15&lt;'Your debts'!$F$9),BA156,0)))))</f>
        <v/>
      </c>
      <c r="Y156" s="33">
        <f>W156-X156</f>
        <v/>
      </c>
      <c r="Z156" s="33">
        <f>IF(AD155&lt;=0,0,ROUND(AD155*(1+'Your debts'!$D$10/1200),2))</f>
        <v/>
      </c>
      <c r="AA156" s="33">
        <f>IF(Z156&lt;=0,0,MIN('Your debts'!$E$10,Z156))</f>
        <v/>
      </c>
      <c r="AB156" s="33">
        <f>Z156-AA156</f>
        <v/>
      </c>
      <c r="AC156" s="33">
        <f>IF('Your debts'!$F$10="",0,MIN(AB156,MAX(0,MAX(0,'Your debts'!$C$19-(G156+L156+Q156+V156+AA156+AF156+AK156+AP156+AU156+AZ156))-(IF(AND('Your debts'!$F$6&lt;&gt;"",'Your debts'!$F$10&lt;&gt;"",'Your debts'!$F$6&lt;'Your debts'!$F$10),H156,0)+IF(AND('Your debts'!$F$7&lt;&gt;"",'Your debts'!$F$10&lt;&gt;"",'Your debts'!$F$7&lt;'Your debts'!$F$10),M156,0)+IF(AND('Your debts'!$F$8&lt;&gt;"",'Your debts'!$F$10&lt;&gt;"",'Your debts'!$F$8&lt;'Your debts'!$F$10),R156,0)+IF(AND('Your debts'!$F$9&lt;&gt;"",'Your debts'!$F$10&lt;&gt;"",'Your debts'!$F$9&lt;'Your debts'!$F$10),W156,0)+IF(AND('Your debts'!$F$11&lt;&gt;"",'Your debts'!$F$10&lt;&gt;"",'Your debts'!$F$11&lt;'Your debts'!$F$10),AG156,0)+IF(AND('Your debts'!$F$12&lt;&gt;"",'Your debts'!$F$10&lt;&gt;"",'Your debts'!$F$12&lt;'Your debts'!$F$10),AL156,0)+IF(AND('Your debts'!$F$13&lt;&gt;"",'Your debts'!$F$10&lt;&gt;"",'Your debts'!$F$13&lt;'Your debts'!$F$10),AQ156,0)+IF(AND('Your debts'!$F$14&lt;&gt;"",'Your debts'!$F$10&lt;&gt;"",'Your debts'!$F$14&lt;'Your debts'!$F$10),AV156,0)+IF(AND('Your debts'!$F$15&lt;&gt;"",'Your debts'!$F$10&lt;&gt;"",'Your debts'!$F$15&lt;'Your debts'!$F$10),BA156,0)))))</f>
        <v/>
      </c>
      <c r="AD156" s="33">
        <f>AB156-AC156</f>
        <v/>
      </c>
      <c r="AE156" s="33">
        <f>IF(AI155&lt;=0,0,ROUND(AI155*(1+'Your debts'!$D$11/1200),2))</f>
        <v/>
      </c>
      <c r="AF156" s="33">
        <f>IF(AE156&lt;=0,0,MIN('Your debts'!$E$11,AE156))</f>
        <v/>
      </c>
      <c r="AG156" s="33">
        <f>AE156-AF156</f>
        <v/>
      </c>
      <c r="AH156" s="33">
        <f>IF('Your debts'!$F$11="",0,MIN(AG156,MAX(0,MAX(0,'Your debts'!$C$19-(G156+L156+Q156+V156+AA156+AF156+AK156+AP156+AU156+AZ156))-(IF(AND('Your debts'!$F$6&lt;&gt;"",'Your debts'!$F$11&lt;&gt;"",'Your debts'!$F$6&lt;'Your debts'!$F$11),H156,0)+IF(AND('Your debts'!$F$7&lt;&gt;"",'Your debts'!$F$11&lt;&gt;"",'Your debts'!$F$7&lt;'Your debts'!$F$11),M156,0)+IF(AND('Your debts'!$F$8&lt;&gt;"",'Your debts'!$F$11&lt;&gt;"",'Your debts'!$F$8&lt;'Your debts'!$F$11),R156,0)+IF(AND('Your debts'!$F$9&lt;&gt;"",'Your debts'!$F$11&lt;&gt;"",'Your debts'!$F$9&lt;'Your debts'!$F$11),W156,0)+IF(AND('Your debts'!$F$10&lt;&gt;"",'Your debts'!$F$11&lt;&gt;"",'Your debts'!$F$10&lt;'Your debts'!$F$11),AB156,0)+IF(AND('Your debts'!$F$12&lt;&gt;"",'Your debts'!$F$11&lt;&gt;"",'Your debts'!$F$12&lt;'Your debts'!$F$11),AL156,0)+IF(AND('Your debts'!$F$13&lt;&gt;"",'Your debts'!$F$11&lt;&gt;"",'Your debts'!$F$13&lt;'Your debts'!$F$11),AQ156,0)+IF(AND('Your debts'!$F$14&lt;&gt;"",'Your debts'!$F$11&lt;&gt;"",'Your debts'!$F$14&lt;'Your debts'!$F$11),AV156,0)+IF(AND('Your debts'!$F$15&lt;&gt;"",'Your debts'!$F$11&lt;&gt;"",'Your debts'!$F$15&lt;'Your debts'!$F$11),BA156,0)))))</f>
        <v/>
      </c>
      <c r="AI156" s="33">
        <f>AG156-AH156</f>
        <v/>
      </c>
      <c r="AJ156" s="33">
        <f>IF(AN155&lt;=0,0,ROUND(AN155*(1+'Your debts'!$D$12/1200),2))</f>
        <v/>
      </c>
      <c r="AK156" s="33">
        <f>IF(AJ156&lt;=0,0,MIN('Your debts'!$E$12,AJ156))</f>
        <v/>
      </c>
      <c r="AL156" s="33">
        <f>AJ156-AK156</f>
        <v/>
      </c>
      <c r="AM156" s="33">
        <f>IF('Your debts'!$F$12="",0,MIN(AL156,MAX(0,MAX(0,'Your debts'!$C$19-(G156+L156+Q156+V156+AA156+AF156+AK156+AP156+AU156+AZ156))-(IF(AND('Your debts'!$F$6&lt;&gt;"",'Your debts'!$F$12&lt;&gt;"",'Your debts'!$F$6&lt;'Your debts'!$F$12),H156,0)+IF(AND('Your debts'!$F$7&lt;&gt;"",'Your debts'!$F$12&lt;&gt;"",'Your debts'!$F$7&lt;'Your debts'!$F$12),M156,0)+IF(AND('Your debts'!$F$8&lt;&gt;"",'Your debts'!$F$12&lt;&gt;"",'Your debts'!$F$8&lt;'Your debts'!$F$12),R156,0)+IF(AND('Your debts'!$F$9&lt;&gt;"",'Your debts'!$F$12&lt;&gt;"",'Your debts'!$F$9&lt;'Your debts'!$F$12),W156,0)+IF(AND('Your debts'!$F$10&lt;&gt;"",'Your debts'!$F$12&lt;&gt;"",'Your debts'!$F$10&lt;'Your debts'!$F$12),AB156,0)+IF(AND('Your debts'!$F$11&lt;&gt;"",'Your debts'!$F$12&lt;&gt;"",'Your debts'!$F$11&lt;'Your debts'!$F$12),AG156,0)+IF(AND('Your debts'!$F$13&lt;&gt;"",'Your debts'!$F$12&lt;&gt;"",'Your debts'!$F$13&lt;'Your debts'!$F$12),AQ156,0)+IF(AND('Your debts'!$F$14&lt;&gt;"",'Your debts'!$F$12&lt;&gt;"",'Your debts'!$F$14&lt;'Your debts'!$F$12),AV156,0)+IF(AND('Your debts'!$F$15&lt;&gt;"",'Your debts'!$F$12&lt;&gt;"",'Your debts'!$F$15&lt;'Your debts'!$F$12),BA156,0)))))</f>
        <v/>
      </c>
      <c r="AN156" s="33">
        <f>AL156-AM156</f>
        <v/>
      </c>
      <c r="AO156" s="33">
        <f>IF(AS155&lt;=0,0,ROUND(AS155*(1+'Your debts'!$D$13/1200),2))</f>
        <v/>
      </c>
      <c r="AP156" s="33">
        <f>IF(AO156&lt;=0,0,MIN('Your debts'!$E$13,AO156))</f>
        <v/>
      </c>
      <c r="AQ156" s="33">
        <f>AO156-AP156</f>
        <v/>
      </c>
      <c r="AR156" s="33">
        <f>IF('Your debts'!$F$13="",0,MIN(AQ156,MAX(0,MAX(0,'Your debts'!$C$19-(G156+L156+Q156+V156+AA156+AF156+AK156+AP156+AU156+AZ156))-(IF(AND('Your debts'!$F$6&lt;&gt;"",'Your debts'!$F$13&lt;&gt;"",'Your debts'!$F$6&lt;'Your debts'!$F$13),H156,0)+IF(AND('Your debts'!$F$7&lt;&gt;"",'Your debts'!$F$13&lt;&gt;"",'Your debts'!$F$7&lt;'Your debts'!$F$13),M156,0)+IF(AND('Your debts'!$F$8&lt;&gt;"",'Your debts'!$F$13&lt;&gt;"",'Your debts'!$F$8&lt;'Your debts'!$F$13),R156,0)+IF(AND('Your debts'!$F$9&lt;&gt;"",'Your debts'!$F$13&lt;&gt;"",'Your debts'!$F$9&lt;'Your debts'!$F$13),W156,0)+IF(AND('Your debts'!$F$10&lt;&gt;"",'Your debts'!$F$13&lt;&gt;"",'Your debts'!$F$10&lt;'Your debts'!$F$13),AB156,0)+IF(AND('Your debts'!$F$11&lt;&gt;"",'Your debts'!$F$13&lt;&gt;"",'Your debts'!$F$11&lt;'Your debts'!$F$13),AG156,0)+IF(AND('Your debts'!$F$12&lt;&gt;"",'Your debts'!$F$13&lt;&gt;"",'Your debts'!$F$12&lt;'Your debts'!$F$13),AL156,0)+IF(AND('Your debts'!$F$14&lt;&gt;"",'Your debts'!$F$13&lt;&gt;"",'Your debts'!$F$14&lt;'Your debts'!$F$13),AV156,0)+IF(AND('Your debts'!$F$15&lt;&gt;"",'Your debts'!$F$13&lt;&gt;"",'Your debts'!$F$15&lt;'Your debts'!$F$13),BA156,0)))))</f>
        <v/>
      </c>
      <c r="AS156" s="33">
        <f>AQ156-AR156</f>
        <v/>
      </c>
      <c r="AT156" s="33">
        <f>IF(AX155&lt;=0,0,ROUND(AX155*(1+'Your debts'!$D$14/1200),2))</f>
        <v/>
      </c>
      <c r="AU156" s="33">
        <f>IF(AT156&lt;=0,0,MIN('Your debts'!$E$14,AT156))</f>
        <v/>
      </c>
      <c r="AV156" s="33">
        <f>AT156-AU156</f>
        <v/>
      </c>
      <c r="AW156" s="33">
        <f>IF('Your debts'!$F$14="",0,MIN(AV156,MAX(0,MAX(0,'Your debts'!$C$19-(G156+L156+Q156+V156+AA156+AF156+AK156+AP156+AU156+AZ156))-(IF(AND('Your debts'!$F$6&lt;&gt;"",'Your debts'!$F$14&lt;&gt;"",'Your debts'!$F$6&lt;'Your debts'!$F$14),H156,0)+IF(AND('Your debts'!$F$7&lt;&gt;"",'Your debts'!$F$14&lt;&gt;"",'Your debts'!$F$7&lt;'Your debts'!$F$14),M156,0)+IF(AND('Your debts'!$F$8&lt;&gt;"",'Your debts'!$F$14&lt;&gt;"",'Your debts'!$F$8&lt;'Your debts'!$F$14),R156,0)+IF(AND('Your debts'!$F$9&lt;&gt;"",'Your debts'!$F$14&lt;&gt;"",'Your debts'!$F$9&lt;'Your debts'!$F$14),W156,0)+IF(AND('Your debts'!$F$10&lt;&gt;"",'Your debts'!$F$14&lt;&gt;"",'Your debts'!$F$10&lt;'Your debts'!$F$14),AB156,0)+IF(AND('Your debts'!$F$11&lt;&gt;"",'Your debts'!$F$14&lt;&gt;"",'Your debts'!$F$11&lt;'Your debts'!$F$14),AG156,0)+IF(AND('Your debts'!$F$12&lt;&gt;"",'Your debts'!$F$14&lt;&gt;"",'Your debts'!$F$12&lt;'Your debts'!$F$14),AL156,0)+IF(AND('Your debts'!$F$13&lt;&gt;"",'Your debts'!$F$14&lt;&gt;"",'Your debts'!$F$13&lt;'Your debts'!$F$14),AQ156,0)+IF(AND('Your debts'!$F$15&lt;&gt;"",'Your debts'!$F$14&lt;&gt;"",'Your debts'!$F$15&lt;'Your debts'!$F$14),BA156,0)))))</f>
        <v/>
      </c>
      <c r="AX156" s="33">
        <f>AV156-AW156</f>
        <v/>
      </c>
      <c r="AY156" s="33">
        <f>IF(BC155&lt;=0,0,ROUND(BC155*(1+'Your debts'!$D$15/1200),2))</f>
        <v/>
      </c>
      <c r="AZ156" s="33">
        <f>IF(AY156&lt;=0,0,MIN('Your debts'!$E$15,AY156))</f>
        <v/>
      </c>
      <c r="BA156" s="33">
        <f>AY156-AZ156</f>
        <v/>
      </c>
      <c r="BB156" s="33">
        <f>IF('Your debts'!$F$15="",0,MIN(BA156,MAX(0,MAX(0,'Your debts'!$C$19-(G156+L156+Q156+V156+AA156+AF156+AK156+AP156+AU156+AZ156))-(IF(AND('Your debts'!$F$6&lt;&gt;"",'Your debts'!$F$15&lt;&gt;"",'Your debts'!$F$6&lt;'Your debts'!$F$15),H156,0)+IF(AND('Your debts'!$F$7&lt;&gt;"",'Your debts'!$F$15&lt;&gt;"",'Your debts'!$F$7&lt;'Your debts'!$F$15),M156,0)+IF(AND('Your debts'!$F$8&lt;&gt;"",'Your debts'!$F$15&lt;&gt;"",'Your debts'!$F$8&lt;'Your debts'!$F$15),R156,0)+IF(AND('Your debts'!$F$9&lt;&gt;"",'Your debts'!$F$15&lt;&gt;"",'Your debts'!$F$9&lt;'Your debts'!$F$15),W156,0)+IF(AND('Your debts'!$F$10&lt;&gt;"",'Your debts'!$F$15&lt;&gt;"",'Your debts'!$F$10&lt;'Your debts'!$F$15),AB156,0)+IF(AND('Your debts'!$F$11&lt;&gt;"",'Your debts'!$F$15&lt;&gt;"",'Your debts'!$F$11&lt;'Your debts'!$F$15),AG156,0)+IF(AND('Your debts'!$F$12&lt;&gt;"",'Your debts'!$F$15&lt;&gt;"",'Your debts'!$F$12&lt;'Your debts'!$F$15),AL156,0)+IF(AND('Your debts'!$F$13&lt;&gt;"",'Your debts'!$F$15&lt;&gt;"",'Your debts'!$F$13&lt;'Your debts'!$F$15),AQ156,0)+IF(AND('Your debts'!$F$14&lt;&gt;"",'Your debts'!$F$15&lt;&gt;"",'Your debts'!$F$14&lt;'Your debts'!$F$15),AV156,0)))))</f>
        <v/>
      </c>
      <c r="BC156" s="33">
        <f>BA156-BB156</f>
        <v/>
      </c>
    </row>
    <row r="157">
      <c r="A157" s="30" t="n">
        <v>142</v>
      </c>
      <c r="B157" s="31">
        <f>EDATE($B$15,142)</f>
        <v/>
      </c>
      <c r="C157" s="32">
        <f>IF(J156&lt;=0,0,F157-J156)+IF(O156&lt;=0,0,K157-O156)+IF(T156&lt;=0,0,P157-T156)+IF(Y156&lt;=0,0,U157-Y156)+IF(AD156&lt;=0,0,Z157-AD156)+IF(AI156&lt;=0,0,AE157-AI156)+IF(AN156&lt;=0,0,AJ157-AN156)+IF(AS156&lt;=0,0,AO157-AS156)+IF(AX156&lt;=0,0,AT157-AX156)+IF(BC156&lt;=0,0,AY157-BC156)</f>
        <v/>
      </c>
      <c r="D157" s="32">
        <f>G157+I157+L157+N157+Q157+S157+V157+X157+AA157+AC157+AF157+AH157+AK157+AM157+AP157+AR157+AU157+AW157+AZ157+BB157</f>
        <v/>
      </c>
      <c r="E157" s="32">
        <f>J157+O157+T157+Y157+AD157+AI157+AN157+AS157+AX157+BC157</f>
        <v/>
      </c>
      <c r="F157" s="33">
        <f>IF(J156&lt;=0,0,ROUND(J156*(1+'Your debts'!$D$6/1200),2))</f>
        <v/>
      </c>
      <c r="G157" s="33">
        <f>IF(F157&lt;=0,0,MIN('Your debts'!$E$6,F157))</f>
        <v/>
      </c>
      <c r="H157" s="33">
        <f>F157-G157</f>
        <v/>
      </c>
      <c r="I157" s="33">
        <f>IF('Your debts'!$F$6="",0,MIN(H157,MAX(0,MAX(0,'Your debts'!$C$19-(G157+L157+Q157+V157+AA157+AF157+AK157+AP157+AU157+AZ157))-(IF(AND('Your debts'!$F$7&lt;&gt;"",'Your debts'!$F$6&lt;&gt;"",'Your debts'!$F$7&lt;'Your debts'!$F$6),M157,0)+IF(AND('Your debts'!$F$8&lt;&gt;"",'Your debts'!$F$6&lt;&gt;"",'Your debts'!$F$8&lt;'Your debts'!$F$6),R157,0)+IF(AND('Your debts'!$F$9&lt;&gt;"",'Your debts'!$F$6&lt;&gt;"",'Your debts'!$F$9&lt;'Your debts'!$F$6),W157,0)+IF(AND('Your debts'!$F$10&lt;&gt;"",'Your debts'!$F$6&lt;&gt;"",'Your debts'!$F$10&lt;'Your debts'!$F$6),AB157,0)+IF(AND('Your debts'!$F$11&lt;&gt;"",'Your debts'!$F$6&lt;&gt;"",'Your debts'!$F$11&lt;'Your debts'!$F$6),AG157,0)+IF(AND('Your debts'!$F$12&lt;&gt;"",'Your debts'!$F$6&lt;&gt;"",'Your debts'!$F$12&lt;'Your debts'!$F$6),AL157,0)+IF(AND('Your debts'!$F$13&lt;&gt;"",'Your debts'!$F$6&lt;&gt;"",'Your debts'!$F$13&lt;'Your debts'!$F$6),AQ157,0)+IF(AND('Your debts'!$F$14&lt;&gt;"",'Your debts'!$F$6&lt;&gt;"",'Your debts'!$F$14&lt;'Your debts'!$F$6),AV157,0)+IF(AND('Your debts'!$F$15&lt;&gt;"",'Your debts'!$F$6&lt;&gt;"",'Your debts'!$F$15&lt;'Your debts'!$F$6),BA157,0)))))</f>
        <v/>
      </c>
      <c r="J157" s="33">
        <f>H157-I157</f>
        <v/>
      </c>
      <c r="K157" s="33">
        <f>IF(O156&lt;=0,0,ROUND(O156*(1+'Your debts'!$D$7/1200),2))</f>
        <v/>
      </c>
      <c r="L157" s="33">
        <f>IF(K157&lt;=0,0,MIN('Your debts'!$E$7,K157))</f>
        <v/>
      </c>
      <c r="M157" s="33">
        <f>K157-L157</f>
        <v/>
      </c>
      <c r="N157" s="33">
        <f>IF('Your debts'!$F$7="",0,MIN(M157,MAX(0,MAX(0,'Your debts'!$C$19-(G157+L157+Q157+V157+AA157+AF157+AK157+AP157+AU157+AZ157))-(IF(AND('Your debts'!$F$6&lt;&gt;"",'Your debts'!$F$7&lt;&gt;"",'Your debts'!$F$6&lt;'Your debts'!$F$7),H157,0)+IF(AND('Your debts'!$F$8&lt;&gt;"",'Your debts'!$F$7&lt;&gt;"",'Your debts'!$F$8&lt;'Your debts'!$F$7),R157,0)+IF(AND('Your debts'!$F$9&lt;&gt;"",'Your debts'!$F$7&lt;&gt;"",'Your debts'!$F$9&lt;'Your debts'!$F$7),W157,0)+IF(AND('Your debts'!$F$10&lt;&gt;"",'Your debts'!$F$7&lt;&gt;"",'Your debts'!$F$10&lt;'Your debts'!$F$7),AB157,0)+IF(AND('Your debts'!$F$11&lt;&gt;"",'Your debts'!$F$7&lt;&gt;"",'Your debts'!$F$11&lt;'Your debts'!$F$7),AG157,0)+IF(AND('Your debts'!$F$12&lt;&gt;"",'Your debts'!$F$7&lt;&gt;"",'Your debts'!$F$12&lt;'Your debts'!$F$7),AL157,0)+IF(AND('Your debts'!$F$13&lt;&gt;"",'Your debts'!$F$7&lt;&gt;"",'Your debts'!$F$13&lt;'Your debts'!$F$7),AQ157,0)+IF(AND('Your debts'!$F$14&lt;&gt;"",'Your debts'!$F$7&lt;&gt;"",'Your debts'!$F$14&lt;'Your debts'!$F$7),AV157,0)+IF(AND('Your debts'!$F$15&lt;&gt;"",'Your debts'!$F$7&lt;&gt;"",'Your debts'!$F$15&lt;'Your debts'!$F$7),BA157,0)))))</f>
        <v/>
      </c>
      <c r="O157" s="33">
        <f>M157-N157</f>
        <v/>
      </c>
      <c r="P157" s="33">
        <f>IF(T156&lt;=0,0,ROUND(T156*(1+'Your debts'!$D$8/1200),2))</f>
        <v/>
      </c>
      <c r="Q157" s="33">
        <f>IF(P157&lt;=0,0,MIN('Your debts'!$E$8,P157))</f>
        <v/>
      </c>
      <c r="R157" s="33">
        <f>P157-Q157</f>
        <v/>
      </c>
      <c r="S157" s="33">
        <f>IF('Your debts'!$F$8="",0,MIN(R157,MAX(0,MAX(0,'Your debts'!$C$19-(G157+L157+Q157+V157+AA157+AF157+AK157+AP157+AU157+AZ157))-(IF(AND('Your debts'!$F$6&lt;&gt;"",'Your debts'!$F$8&lt;&gt;"",'Your debts'!$F$6&lt;'Your debts'!$F$8),H157,0)+IF(AND('Your debts'!$F$7&lt;&gt;"",'Your debts'!$F$8&lt;&gt;"",'Your debts'!$F$7&lt;'Your debts'!$F$8),M157,0)+IF(AND('Your debts'!$F$9&lt;&gt;"",'Your debts'!$F$8&lt;&gt;"",'Your debts'!$F$9&lt;'Your debts'!$F$8),W157,0)+IF(AND('Your debts'!$F$10&lt;&gt;"",'Your debts'!$F$8&lt;&gt;"",'Your debts'!$F$10&lt;'Your debts'!$F$8),AB157,0)+IF(AND('Your debts'!$F$11&lt;&gt;"",'Your debts'!$F$8&lt;&gt;"",'Your debts'!$F$11&lt;'Your debts'!$F$8),AG157,0)+IF(AND('Your debts'!$F$12&lt;&gt;"",'Your debts'!$F$8&lt;&gt;"",'Your debts'!$F$12&lt;'Your debts'!$F$8),AL157,0)+IF(AND('Your debts'!$F$13&lt;&gt;"",'Your debts'!$F$8&lt;&gt;"",'Your debts'!$F$13&lt;'Your debts'!$F$8),AQ157,0)+IF(AND('Your debts'!$F$14&lt;&gt;"",'Your debts'!$F$8&lt;&gt;"",'Your debts'!$F$14&lt;'Your debts'!$F$8),AV157,0)+IF(AND('Your debts'!$F$15&lt;&gt;"",'Your debts'!$F$8&lt;&gt;"",'Your debts'!$F$15&lt;'Your debts'!$F$8),BA157,0)))))</f>
        <v/>
      </c>
      <c r="T157" s="33">
        <f>R157-S157</f>
        <v/>
      </c>
      <c r="U157" s="33">
        <f>IF(Y156&lt;=0,0,ROUND(Y156*(1+'Your debts'!$D$9/1200),2))</f>
        <v/>
      </c>
      <c r="V157" s="33">
        <f>IF(U157&lt;=0,0,MIN('Your debts'!$E$9,U157))</f>
        <v/>
      </c>
      <c r="W157" s="33">
        <f>U157-V157</f>
        <v/>
      </c>
      <c r="X157" s="33">
        <f>IF('Your debts'!$F$9="",0,MIN(W157,MAX(0,MAX(0,'Your debts'!$C$19-(G157+L157+Q157+V157+AA157+AF157+AK157+AP157+AU157+AZ157))-(IF(AND('Your debts'!$F$6&lt;&gt;"",'Your debts'!$F$9&lt;&gt;"",'Your debts'!$F$6&lt;'Your debts'!$F$9),H157,0)+IF(AND('Your debts'!$F$7&lt;&gt;"",'Your debts'!$F$9&lt;&gt;"",'Your debts'!$F$7&lt;'Your debts'!$F$9),M157,0)+IF(AND('Your debts'!$F$8&lt;&gt;"",'Your debts'!$F$9&lt;&gt;"",'Your debts'!$F$8&lt;'Your debts'!$F$9),R157,0)+IF(AND('Your debts'!$F$10&lt;&gt;"",'Your debts'!$F$9&lt;&gt;"",'Your debts'!$F$10&lt;'Your debts'!$F$9),AB157,0)+IF(AND('Your debts'!$F$11&lt;&gt;"",'Your debts'!$F$9&lt;&gt;"",'Your debts'!$F$11&lt;'Your debts'!$F$9),AG157,0)+IF(AND('Your debts'!$F$12&lt;&gt;"",'Your debts'!$F$9&lt;&gt;"",'Your debts'!$F$12&lt;'Your debts'!$F$9),AL157,0)+IF(AND('Your debts'!$F$13&lt;&gt;"",'Your debts'!$F$9&lt;&gt;"",'Your debts'!$F$13&lt;'Your debts'!$F$9),AQ157,0)+IF(AND('Your debts'!$F$14&lt;&gt;"",'Your debts'!$F$9&lt;&gt;"",'Your debts'!$F$14&lt;'Your debts'!$F$9),AV157,0)+IF(AND('Your debts'!$F$15&lt;&gt;"",'Your debts'!$F$9&lt;&gt;"",'Your debts'!$F$15&lt;'Your debts'!$F$9),BA157,0)))))</f>
        <v/>
      </c>
      <c r="Y157" s="33">
        <f>W157-X157</f>
        <v/>
      </c>
      <c r="Z157" s="33">
        <f>IF(AD156&lt;=0,0,ROUND(AD156*(1+'Your debts'!$D$10/1200),2))</f>
        <v/>
      </c>
      <c r="AA157" s="33">
        <f>IF(Z157&lt;=0,0,MIN('Your debts'!$E$10,Z157))</f>
        <v/>
      </c>
      <c r="AB157" s="33">
        <f>Z157-AA157</f>
        <v/>
      </c>
      <c r="AC157" s="33">
        <f>IF('Your debts'!$F$10="",0,MIN(AB157,MAX(0,MAX(0,'Your debts'!$C$19-(G157+L157+Q157+V157+AA157+AF157+AK157+AP157+AU157+AZ157))-(IF(AND('Your debts'!$F$6&lt;&gt;"",'Your debts'!$F$10&lt;&gt;"",'Your debts'!$F$6&lt;'Your debts'!$F$10),H157,0)+IF(AND('Your debts'!$F$7&lt;&gt;"",'Your debts'!$F$10&lt;&gt;"",'Your debts'!$F$7&lt;'Your debts'!$F$10),M157,0)+IF(AND('Your debts'!$F$8&lt;&gt;"",'Your debts'!$F$10&lt;&gt;"",'Your debts'!$F$8&lt;'Your debts'!$F$10),R157,0)+IF(AND('Your debts'!$F$9&lt;&gt;"",'Your debts'!$F$10&lt;&gt;"",'Your debts'!$F$9&lt;'Your debts'!$F$10),W157,0)+IF(AND('Your debts'!$F$11&lt;&gt;"",'Your debts'!$F$10&lt;&gt;"",'Your debts'!$F$11&lt;'Your debts'!$F$10),AG157,0)+IF(AND('Your debts'!$F$12&lt;&gt;"",'Your debts'!$F$10&lt;&gt;"",'Your debts'!$F$12&lt;'Your debts'!$F$10),AL157,0)+IF(AND('Your debts'!$F$13&lt;&gt;"",'Your debts'!$F$10&lt;&gt;"",'Your debts'!$F$13&lt;'Your debts'!$F$10),AQ157,0)+IF(AND('Your debts'!$F$14&lt;&gt;"",'Your debts'!$F$10&lt;&gt;"",'Your debts'!$F$14&lt;'Your debts'!$F$10),AV157,0)+IF(AND('Your debts'!$F$15&lt;&gt;"",'Your debts'!$F$10&lt;&gt;"",'Your debts'!$F$15&lt;'Your debts'!$F$10),BA157,0)))))</f>
        <v/>
      </c>
      <c r="AD157" s="33">
        <f>AB157-AC157</f>
        <v/>
      </c>
      <c r="AE157" s="33">
        <f>IF(AI156&lt;=0,0,ROUND(AI156*(1+'Your debts'!$D$11/1200),2))</f>
        <v/>
      </c>
      <c r="AF157" s="33">
        <f>IF(AE157&lt;=0,0,MIN('Your debts'!$E$11,AE157))</f>
        <v/>
      </c>
      <c r="AG157" s="33">
        <f>AE157-AF157</f>
        <v/>
      </c>
      <c r="AH157" s="33">
        <f>IF('Your debts'!$F$11="",0,MIN(AG157,MAX(0,MAX(0,'Your debts'!$C$19-(G157+L157+Q157+V157+AA157+AF157+AK157+AP157+AU157+AZ157))-(IF(AND('Your debts'!$F$6&lt;&gt;"",'Your debts'!$F$11&lt;&gt;"",'Your debts'!$F$6&lt;'Your debts'!$F$11),H157,0)+IF(AND('Your debts'!$F$7&lt;&gt;"",'Your debts'!$F$11&lt;&gt;"",'Your debts'!$F$7&lt;'Your debts'!$F$11),M157,0)+IF(AND('Your debts'!$F$8&lt;&gt;"",'Your debts'!$F$11&lt;&gt;"",'Your debts'!$F$8&lt;'Your debts'!$F$11),R157,0)+IF(AND('Your debts'!$F$9&lt;&gt;"",'Your debts'!$F$11&lt;&gt;"",'Your debts'!$F$9&lt;'Your debts'!$F$11),W157,0)+IF(AND('Your debts'!$F$10&lt;&gt;"",'Your debts'!$F$11&lt;&gt;"",'Your debts'!$F$10&lt;'Your debts'!$F$11),AB157,0)+IF(AND('Your debts'!$F$12&lt;&gt;"",'Your debts'!$F$11&lt;&gt;"",'Your debts'!$F$12&lt;'Your debts'!$F$11),AL157,0)+IF(AND('Your debts'!$F$13&lt;&gt;"",'Your debts'!$F$11&lt;&gt;"",'Your debts'!$F$13&lt;'Your debts'!$F$11),AQ157,0)+IF(AND('Your debts'!$F$14&lt;&gt;"",'Your debts'!$F$11&lt;&gt;"",'Your debts'!$F$14&lt;'Your debts'!$F$11),AV157,0)+IF(AND('Your debts'!$F$15&lt;&gt;"",'Your debts'!$F$11&lt;&gt;"",'Your debts'!$F$15&lt;'Your debts'!$F$11),BA157,0)))))</f>
        <v/>
      </c>
      <c r="AI157" s="33">
        <f>AG157-AH157</f>
        <v/>
      </c>
      <c r="AJ157" s="33">
        <f>IF(AN156&lt;=0,0,ROUND(AN156*(1+'Your debts'!$D$12/1200),2))</f>
        <v/>
      </c>
      <c r="AK157" s="33">
        <f>IF(AJ157&lt;=0,0,MIN('Your debts'!$E$12,AJ157))</f>
        <v/>
      </c>
      <c r="AL157" s="33">
        <f>AJ157-AK157</f>
        <v/>
      </c>
      <c r="AM157" s="33">
        <f>IF('Your debts'!$F$12="",0,MIN(AL157,MAX(0,MAX(0,'Your debts'!$C$19-(G157+L157+Q157+V157+AA157+AF157+AK157+AP157+AU157+AZ157))-(IF(AND('Your debts'!$F$6&lt;&gt;"",'Your debts'!$F$12&lt;&gt;"",'Your debts'!$F$6&lt;'Your debts'!$F$12),H157,0)+IF(AND('Your debts'!$F$7&lt;&gt;"",'Your debts'!$F$12&lt;&gt;"",'Your debts'!$F$7&lt;'Your debts'!$F$12),M157,0)+IF(AND('Your debts'!$F$8&lt;&gt;"",'Your debts'!$F$12&lt;&gt;"",'Your debts'!$F$8&lt;'Your debts'!$F$12),R157,0)+IF(AND('Your debts'!$F$9&lt;&gt;"",'Your debts'!$F$12&lt;&gt;"",'Your debts'!$F$9&lt;'Your debts'!$F$12),W157,0)+IF(AND('Your debts'!$F$10&lt;&gt;"",'Your debts'!$F$12&lt;&gt;"",'Your debts'!$F$10&lt;'Your debts'!$F$12),AB157,0)+IF(AND('Your debts'!$F$11&lt;&gt;"",'Your debts'!$F$12&lt;&gt;"",'Your debts'!$F$11&lt;'Your debts'!$F$12),AG157,0)+IF(AND('Your debts'!$F$13&lt;&gt;"",'Your debts'!$F$12&lt;&gt;"",'Your debts'!$F$13&lt;'Your debts'!$F$12),AQ157,0)+IF(AND('Your debts'!$F$14&lt;&gt;"",'Your debts'!$F$12&lt;&gt;"",'Your debts'!$F$14&lt;'Your debts'!$F$12),AV157,0)+IF(AND('Your debts'!$F$15&lt;&gt;"",'Your debts'!$F$12&lt;&gt;"",'Your debts'!$F$15&lt;'Your debts'!$F$12),BA157,0)))))</f>
        <v/>
      </c>
      <c r="AN157" s="33">
        <f>AL157-AM157</f>
        <v/>
      </c>
      <c r="AO157" s="33">
        <f>IF(AS156&lt;=0,0,ROUND(AS156*(1+'Your debts'!$D$13/1200),2))</f>
        <v/>
      </c>
      <c r="AP157" s="33">
        <f>IF(AO157&lt;=0,0,MIN('Your debts'!$E$13,AO157))</f>
        <v/>
      </c>
      <c r="AQ157" s="33">
        <f>AO157-AP157</f>
        <v/>
      </c>
      <c r="AR157" s="33">
        <f>IF('Your debts'!$F$13="",0,MIN(AQ157,MAX(0,MAX(0,'Your debts'!$C$19-(G157+L157+Q157+V157+AA157+AF157+AK157+AP157+AU157+AZ157))-(IF(AND('Your debts'!$F$6&lt;&gt;"",'Your debts'!$F$13&lt;&gt;"",'Your debts'!$F$6&lt;'Your debts'!$F$13),H157,0)+IF(AND('Your debts'!$F$7&lt;&gt;"",'Your debts'!$F$13&lt;&gt;"",'Your debts'!$F$7&lt;'Your debts'!$F$13),M157,0)+IF(AND('Your debts'!$F$8&lt;&gt;"",'Your debts'!$F$13&lt;&gt;"",'Your debts'!$F$8&lt;'Your debts'!$F$13),R157,0)+IF(AND('Your debts'!$F$9&lt;&gt;"",'Your debts'!$F$13&lt;&gt;"",'Your debts'!$F$9&lt;'Your debts'!$F$13),W157,0)+IF(AND('Your debts'!$F$10&lt;&gt;"",'Your debts'!$F$13&lt;&gt;"",'Your debts'!$F$10&lt;'Your debts'!$F$13),AB157,0)+IF(AND('Your debts'!$F$11&lt;&gt;"",'Your debts'!$F$13&lt;&gt;"",'Your debts'!$F$11&lt;'Your debts'!$F$13),AG157,0)+IF(AND('Your debts'!$F$12&lt;&gt;"",'Your debts'!$F$13&lt;&gt;"",'Your debts'!$F$12&lt;'Your debts'!$F$13),AL157,0)+IF(AND('Your debts'!$F$14&lt;&gt;"",'Your debts'!$F$13&lt;&gt;"",'Your debts'!$F$14&lt;'Your debts'!$F$13),AV157,0)+IF(AND('Your debts'!$F$15&lt;&gt;"",'Your debts'!$F$13&lt;&gt;"",'Your debts'!$F$15&lt;'Your debts'!$F$13),BA157,0)))))</f>
        <v/>
      </c>
      <c r="AS157" s="33">
        <f>AQ157-AR157</f>
        <v/>
      </c>
      <c r="AT157" s="33">
        <f>IF(AX156&lt;=0,0,ROUND(AX156*(1+'Your debts'!$D$14/1200),2))</f>
        <v/>
      </c>
      <c r="AU157" s="33">
        <f>IF(AT157&lt;=0,0,MIN('Your debts'!$E$14,AT157))</f>
        <v/>
      </c>
      <c r="AV157" s="33">
        <f>AT157-AU157</f>
        <v/>
      </c>
      <c r="AW157" s="33">
        <f>IF('Your debts'!$F$14="",0,MIN(AV157,MAX(0,MAX(0,'Your debts'!$C$19-(G157+L157+Q157+V157+AA157+AF157+AK157+AP157+AU157+AZ157))-(IF(AND('Your debts'!$F$6&lt;&gt;"",'Your debts'!$F$14&lt;&gt;"",'Your debts'!$F$6&lt;'Your debts'!$F$14),H157,0)+IF(AND('Your debts'!$F$7&lt;&gt;"",'Your debts'!$F$14&lt;&gt;"",'Your debts'!$F$7&lt;'Your debts'!$F$14),M157,0)+IF(AND('Your debts'!$F$8&lt;&gt;"",'Your debts'!$F$14&lt;&gt;"",'Your debts'!$F$8&lt;'Your debts'!$F$14),R157,0)+IF(AND('Your debts'!$F$9&lt;&gt;"",'Your debts'!$F$14&lt;&gt;"",'Your debts'!$F$9&lt;'Your debts'!$F$14),W157,0)+IF(AND('Your debts'!$F$10&lt;&gt;"",'Your debts'!$F$14&lt;&gt;"",'Your debts'!$F$10&lt;'Your debts'!$F$14),AB157,0)+IF(AND('Your debts'!$F$11&lt;&gt;"",'Your debts'!$F$14&lt;&gt;"",'Your debts'!$F$11&lt;'Your debts'!$F$14),AG157,0)+IF(AND('Your debts'!$F$12&lt;&gt;"",'Your debts'!$F$14&lt;&gt;"",'Your debts'!$F$12&lt;'Your debts'!$F$14),AL157,0)+IF(AND('Your debts'!$F$13&lt;&gt;"",'Your debts'!$F$14&lt;&gt;"",'Your debts'!$F$13&lt;'Your debts'!$F$14),AQ157,0)+IF(AND('Your debts'!$F$15&lt;&gt;"",'Your debts'!$F$14&lt;&gt;"",'Your debts'!$F$15&lt;'Your debts'!$F$14),BA157,0)))))</f>
        <v/>
      </c>
      <c r="AX157" s="33">
        <f>AV157-AW157</f>
        <v/>
      </c>
      <c r="AY157" s="33">
        <f>IF(BC156&lt;=0,0,ROUND(BC156*(1+'Your debts'!$D$15/1200),2))</f>
        <v/>
      </c>
      <c r="AZ157" s="33">
        <f>IF(AY157&lt;=0,0,MIN('Your debts'!$E$15,AY157))</f>
        <v/>
      </c>
      <c r="BA157" s="33">
        <f>AY157-AZ157</f>
        <v/>
      </c>
      <c r="BB157" s="33">
        <f>IF('Your debts'!$F$15="",0,MIN(BA157,MAX(0,MAX(0,'Your debts'!$C$19-(G157+L157+Q157+V157+AA157+AF157+AK157+AP157+AU157+AZ157))-(IF(AND('Your debts'!$F$6&lt;&gt;"",'Your debts'!$F$15&lt;&gt;"",'Your debts'!$F$6&lt;'Your debts'!$F$15),H157,0)+IF(AND('Your debts'!$F$7&lt;&gt;"",'Your debts'!$F$15&lt;&gt;"",'Your debts'!$F$7&lt;'Your debts'!$F$15),M157,0)+IF(AND('Your debts'!$F$8&lt;&gt;"",'Your debts'!$F$15&lt;&gt;"",'Your debts'!$F$8&lt;'Your debts'!$F$15),R157,0)+IF(AND('Your debts'!$F$9&lt;&gt;"",'Your debts'!$F$15&lt;&gt;"",'Your debts'!$F$9&lt;'Your debts'!$F$15),W157,0)+IF(AND('Your debts'!$F$10&lt;&gt;"",'Your debts'!$F$15&lt;&gt;"",'Your debts'!$F$10&lt;'Your debts'!$F$15),AB157,0)+IF(AND('Your debts'!$F$11&lt;&gt;"",'Your debts'!$F$15&lt;&gt;"",'Your debts'!$F$11&lt;'Your debts'!$F$15),AG157,0)+IF(AND('Your debts'!$F$12&lt;&gt;"",'Your debts'!$F$15&lt;&gt;"",'Your debts'!$F$12&lt;'Your debts'!$F$15),AL157,0)+IF(AND('Your debts'!$F$13&lt;&gt;"",'Your debts'!$F$15&lt;&gt;"",'Your debts'!$F$13&lt;'Your debts'!$F$15),AQ157,0)+IF(AND('Your debts'!$F$14&lt;&gt;"",'Your debts'!$F$15&lt;&gt;"",'Your debts'!$F$14&lt;'Your debts'!$F$15),AV157,0)))))</f>
        <v/>
      </c>
      <c r="BC157" s="33">
        <f>BA157-BB157</f>
        <v/>
      </c>
    </row>
    <row r="158">
      <c r="A158" s="30" t="n">
        <v>143</v>
      </c>
      <c r="B158" s="31">
        <f>EDATE($B$15,143)</f>
        <v/>
      </c>
      <c r="C158" s="32">
        <f>IF(J157&lt;=0,0,F158-J157)+IF(O157&lt;=0,0,K158-O157)+IF(T157&lt;=0,0,P158-T157)+IF(Y157&lt;=0,0,U158-Y157)+IF(AD157&lt;=0,0,Z158-AD157)+IF(AI157&lt;=0,0,AE158-AI157)+IF(AN157&lt;=0,0,AJ158-AN157)+IF(AS157&lt;=0,0,AO158-AS157)+IF(AX157&lt;=0,0,AT158-AX157)+IF(BC157&lt;=0,0,AY158-BC157)</f>
        <v/>
      </c>
      <c r="D158" s="32">
        <f>G158+I158+L158+N158+Q158+S158+V158+X158+AA158+AC158+AF158+AH158+AK158+AM158+AP158+AR158+AU158+AW158+AZ158+BB158</f>
        <v/>
      </c>
      <c r="E158" s="32">
        <f>J158+O158+T158+Y158+AD158+AI158+AN158+AS158+AX158+BC158</f>
        <v/>
      </c>
      <c r="F158" s="33">
        <f>IF(J157&lt;=0,0,ROUND(J157*(1+'Your debts'!$D$6/1200),2))</f>
        <v/>
      </c>
      <c r="G158" s="33">
        <f>IF(F158&lt;=0,0,MIN('Your debts'!$E$6,F158))</f>
        <v/>
      </c>
      <c r="H158" s="33">
        <f>F158-G158</f>
        <v/>
      </c>
      <c r="I158" s="33">
        <f>IF('Your debts'!$F$6="",0,MIN(H158,MAX(0,MAX(0,'Your debts'!$C$19-(G158+L158+Q158+V158+AA158+AF158+AK158+AP158+AU158+AZ158))-(IF(AND('Your debts'!$F$7&lt;&gt;"",'Your debts'!$F$6&lt;&gt;"",'Your debts'!$F$7&lt;'Your debts'!$F$6),M158,0)+IF(AND('Your debts'!$F$8&lt;&gt;"",'Your debts'!$F$6&lt;&gt;"",'Your debts'!$F$8&lt;'Your debts'!$F$6),R158,0)+IF(AND('Your debts'!$F$9&lt;&gt;"",'Your debts'!$F$6&lt;&gt;"",'Your debts'!$F$9&lt;'Your debts'!$F$6),W158,0)+IF(AND('Your debts'!$F$10&lt;&gt;"",'Your debts'!$F$6&lt;&gt;"",'Your debts'!$F$10&lt;'Your debts'!$F$6),AB158,0)+IF(AND('Your debts'!$F$11&lt;&gt;"",'Your debts'!$F$6&lt;&gt;"",'Your debts'!$F$11&lt;'Your debts'!$F$6),AG158,0)+IF(AND('Your debts'!$F$12&lt;&gt;"",'Your debts'!$F$6&lt;&gt;"",'Your debts'!$F$12&lt;'Your debts'!$F$6),AL158,0)+IF(AND('Your debts'!$F$13&lt;&gt;"",'Your debts'!$F$6&lt;&gt;"",'Your debts'!$F$13&lt;'Your debts'!$F$6),AQ158,0)+IF(AND('Your debts'!$F$14&lt;&gt;"",'Your debts'!$F$6&lt;&gt;"",'Your debts'!$F$14&lt;'Your debts'!$F$6),AV158,0)+IF(AND('Your debts'!$F$15&lt;&gt;"",'Your debts'!$F$6&lt;&gt;"",'Your debts'!$F$15&lt;'Your debts'!$F$6),BA158,0)))))</f>
        <v/>
      </c>
      <c r="J158" s="33">
        <f>H158-I158</f>
        <v/>
      </c>
      <c r="K158" s="33">
        <f>IF(O157&lt;=0,0,ROUND(O157*(1+'Your debts'!$D$7/1200),2))</f>
        <v/>
      </c>
      <c r="L158" s="33">
        <f>IF(K158&lt;=0,0,MIN('Your debts'!$E$7,K158))</f>
        <v/>
      </c>
      <c r="M158" s="33">
        <f>K158-L158</f>
        <v/>
      </c>
      <c r="N158" s="33">
        <f>IF('Your debts'!$F$7="",0,MIN(M158,MAX(0,MAX(0,'Your debts'!$C$19-(G158+L158+Q158+V158+AA158+AF158+AK158+AP158+AU158+AZ158))-(IF(AND('Your debts'!$F$6&lt;&gt;"",'Your debts'!$F$7&lt;&gt;"",'Your debts'!$F$6&lt;'Your debts'!$F$7),H158,0)+IF(AND('Your debts'!$F$8&lt;&gt;"",'Your debts'!$F$7&lt;&gt;"",'Your debts'!$F$8&lt;'Your debts'!$F$7),R158,0)+IF(AND('Your debts'!$F$9&lt;&gt;"",'Your debts'!$F$7&lt;&gt;"",'Your debts'!$F$9&lt;'Your debts'!$F$7),W158,0)+IF(AND('Your debts'!$F$10&lt;&gt;"",'Your debts'!$F$7&lt;&gt;"",'Your debts'!$F$10&lt;'Your debts'!$F$7),AB158,0)+IF(AND('Your debts'!$F$11&lt;&gt;"",'Your debts'!$F$7&lt;&gt;"",'Your debts'!$F$11&lt;'Your debts'!$F$7),AG158,0)+IF(AND('Your debts'!$F$12&lt;&gt;"",'Your debts'!$F$7&lt;&gt;"",'Your debts'!$F$12&lt;'Your debts'!$F$7),AL158,0)+IF(AND('Your debts'!$F$13&lt;&gt;"",'Your debts'!$F$7&lt;&gt;"",'Your debts'!$F$13&lt;'Your debts'!$F$7),AQ158,0)+IF(AND('Your debts'!$F$14&lt;&gt;"",'Your debts'!$F$7&lt;&gt;"",'Your debts'!$F$14&lt;'Your debts'!$F$7),AV158,0)+IF(AND('Your debts'!$F$15&lt;&gt;"",'Your debts'!$F$7&lt;&gt;"",'Your debts'!$F$15&lt;'Your debts'!$F$7),BA158,0)))))</f>
        <v/>
      </c>
      <c r="O158" s="33">
        <f>M158-N158</f>
        <v/>
      </c>
      <c r="P158" s="33">
        <f>IF(T157&lt;=0,0,ROUND(T157*(1+'Your debts'!$D$8/1200),2))</f>
        <v/>
      </c>
      <c r="Q158" s="33">
        <f>IF(P158&lt;=0,0,MIN('Your debts'!$E$8,P158))</f>
        <v/>
      </c>
      <c r="R158" s="33">
        <f>P158-Q158</f>
        <v/>
      </c>
      <c r="S158" s="33">
        <f>IF('Your debts'!$F$8="",0,MIN(R158,MAX(0,MAX(0,'Your debts'!$C$19-(G158+L158+Q158+V158+AA158+AF158+AK158+AP158+AU158+AZ158))-(IF(AND('Your debts'!$F$6&lt;&gt;"",'Your debts'!$F$8&lt;&gt;"",'Your debts'!$F$6&lt;'Your debts'!$F$8),H158,0)+IF(AND('Your debts'!$F$7&lt;&gt;"",'Your debts'!$F$8&lt;&gt;"",'Your debts'!$F$7&lt;'Your debts'!$F$8),M158,0)+IF(AND('Your debts'!$F$9&lt;&gt;"",'Your debts'!$F$8&lt;&gt;"",'Your debts'!$F$9&lt;'Your debts'!$F$8),W158,0)+IF(AND('Your debts'!$F$10&lt;&gt;"",'Your debts'!$F$8&lt;&gt;"",'Your debts'!$F$10&lt;'Your debts'!$F$8),AB158,0)+IF(AND('Your debts'!$F$11&lt;&gt;"",'Your debts'!$F$8&lt;&gt;"",'Your debts'!$F$11&lt;'Your debts'!$F$8),AG158,0)+IF(AND('Your debts'!$F$12&lt;&gt;"",'Your debts'!$F$8&lt;&gt;"",'Your debts'!$F$12&lt;'Your debts'!$F$8),AL158,0)+IF(AND('Your debts'!$F$13&lt;&gt;"",'Your debts'!$F$8&lt;&gt;"",'Your debts'!$F$13&lt;'Your debts'!$F$8),AQ158,0)+IF(AND('Your debts'!$F$14&lt;&gt;"",'Your debts'!$F$8&lt;&gt;"",'Your debts'!$F$14&lt;'Your debts'!$F$8),AV158,0)+IF(AND('Your debts'!$F$15&lt;&gt;"",'Your debts'!$F$8&lt;&gt;"",'Your debts'!$F$15&lt;'Your debts'!$F$8),BA158,0)))))</f>
        <v/>
      </c>
      <c r="T158" s="33">
        <f>R158-S158</f>
        <v/>
      </c>
      <c r="U158" s="33">
        <f>IF(Y157&lt;=0,0,ROUND(Y157*(1+'Your debts'!$D$9/1200),2))</f>
        <v/>
      </c>
      <c r="V158" s="33">
        <f>IF(U158&lt;=0,0,MIN('Your debts'!$E$9,U158))</f>
        <v/>
      </c>
      <c r="W158" s="33">
        <f>U158-V158</f>
        <v/>
      </c>
      <c r="X158" s="33">
        <f>IF('Your debts'!$F$9="",0,MIN(W158,MAX(0,MAX(0,'Your debts'!$C$19-(G158+L158+Q158+V158+AA158+AF158+AK158+AP158+AU158+AZ158))-(IF(AND('Your debts'!$F$6&lt;&gt;"",'Your debts'!$F$9&lt;&gt;"",'Your debts'!$F$6&lt;'Your debts'!$F$9),H158,0)+IF(AND('Your debts'!$F$7&lt;&gt;"",'Your debts'!$F$9&lt;&gt;"",'Your debts'!$F$7&lt;'Your debts'!$F$9),M158,0)+IF(AND('Your debts'!$F$8&lt;&gt;"",'Your debts'!$F$9&lt;&gt;"",'Your debts'!$F$8&lt;'Your debts'!$F$9),R158,0)+IF(AND('Your debts'!$F$10&lt;&gt;"",'Your debts'!$F$9&lt;&gt;"",'Your debts'!$F$10&lt;'Your debts'!$F$9),AB158,0)+IF(AND('Your debts'!$F$11&lt;&gt;"",'Your debts'!$F$9&lt;&gt;"",'Your debts'!$F$11&lt;'Your debts'!$F$9),AG158,0)+IF(AND('Your debts'!$F$12&lt;&gt;"",'Your debts'!$F$9&lt;&gt;"",'Your debts'!$F$12&lt;'Your debts'!$F$9),AL158,0)+IF(AND('Your debts'!$F$13&lt;&gt;"",'Your debts'!$F$9&lt;&gt;"",'Your debts'!$F$13&lt;'Your debts'!$F$9),AQ158,0)+IF(AND('Your debts'!$F$14&lt;&gt;"",'Your debts'!$F$9&lt;&gt;"",'Your debts'!$F$14&lt;'Your debts'!$F$9),AV158,0)+IF(AND('Your debts'!$F$15&lt;&gt;"",'Your debts'!$F$9&lt;&gt;"",'Your debts'!$F$15&lt;'Your debts'!$F$9),BA158,0)))))</f>
        <v/>
      </c>
      <c r="Y158" s="33">
        <f>W158-X158</f>
        <v/>
      </c>
      <c r="Z158" s="33">
        <f>IF(AD157&lt;=0,0,ROUND(AD157*(1+'Your debts'!$D$10/1200),2))</f>
        <v/>
      </c>
      <c r="AA158" s="33">
        <f>IF(Z158&lt;=0,0,MIN('Your debts'!$E$10,Z158))</f>
        <v/>
      </c>
      <c r="AB158" s="33">
        <f>Z158-AA158</f>
        <v/>
      </c>
      <c r="AC158" s="33">
        <f>IF('Your debts'!$F$10="",0,MIN(AB158,MAX(0,MAX(0,'Your debts'!$C$19-(G158+L158+Q158+V158+AA158+AF158+AK158+AP158+AU158+AZ158))-(IF(AND('Your debts'!$F$6&lt;&gt;"",'Your debts'!$F$10&lt;&gt;"",'Your debts'!$F$6&lt;'Your debts'!$F$10),H158,0)+IF(AND('Your debts'!$F$7&lt;&gt;"",'Your debts'!$F$10&lt;&gt;"",'Your debts'!$F$7&lt;'Your debts'!$F$10),M158,0)+IF(AND('Your debts'!$F$8&lt;&gt;"",'Your debts'!$F$10&lt;&gt;"",'Your debts'!$F$8&lt;'Your debts'!$F$10),R158,0)+IF(AND('Your debts'!$F$9&lt;&gt;"",'Your debts'!$F$10&lt;&gt;"",'Your debts'!$F$9&lt;'Your debts'!$F$10),W158,0)+IF(AND('Your debts'!$F$11&lt;&gt;"",'Your debts'!$F$10&lt;&gt;"",'Your debts'!$F$11&lt;'Your debts'!$F$10),AG158,0)+IF(AND('Your debts'!$F$12&lt;&gt;"",'Your debts'!$F$10&lt;&gt;"",'Your debts'!$F$12&lt;'Your debts'!$F$10),AL158,0)+IF(AND('Your debts'!$F$13&lt;&gt;"",'Your debts'!$F$10&lt;&gt;"",'Your debts'!$F$13&lt;'Your debts'!$F$10),AQ158,0)+IF(AND('Your debts'!$F$14&lt;&gt;"",'Your debts'!$F$10&lt;&gt;"",'Your debts'!$F$14&lt;'Your debts'!$F$10),AV158,0)+IF(AND('Your debts'!$F$15&lt;&gt;"",'Your debts'!$F$10&lt;&gt;"",'Your debts'!$F$15&lt;'Your debts'!$F$10),BA158,0)))))</f>
        <v/>
      </c>
      <c r="AD158" s="33">
        <f>AB158-AC158</f>
        <v/>
      </c>
      <c r="AE158" s="33">
        <f>IF(AI157&lt;=0,0,ROUND(AI157*(1+'Your debts'!$D$11/1200),2))</f>
        <v/>
      </c>
      <c r="AF158" s="33">
        <f>IF(AE158&lt;=0,0,MIN('Your debts'!$E$11,AE158))</f>
        <v/>
      </c>
      <c r="AG158" s="33">
        <f>AE158-AF158</f>
        <v/>
      </c>
      <c r="AH158" s="33">
        <f>IF('Your debts'!$F$11="",0,MIN(AG158,MAX(0,MAX(0,'Your debts'!$C$19-(G158+L158+Q158+V158+AA158+AF158+AK158+AP158+AU158+AZ158))-(IF(AND('Your debts'!$F$6&lt;&gt;"",'Your debts'!$F$11&lt;&gt;"",'Your debts'!$F$6&lt;'Your debts'!$F$11),H158,0)+IF(AND('Your debts'!$F$7&lt;&gt;"",'Your debts'!$F$11&lt;&gt;"",'Your debts'!$F$7&lt;'Your debts'!$F$11),M158,0)+IF(AND('Your debts'!$F$8&lt;&gt;"",'Your debts'!$F$11&lt;&gt;"",'Your debts'!$F$8&lt;'Your debts'!$F$11),R158,0)+IF(AND('Your debts'!$F$9&lt;&gt;"",'Your debts'!$F$11&lt;&gt;"",'Your debts'!$F$9&lt;'Your debts'!$F$11),W158,0)+IF(AND('Your debts'!$F$10&lt;&gt;"",'Your debts'!$F$11&lt;&gt;"",'Your debts'!$F$10&lt;'Your debts'!$F$11),AB158,0)+IF(AND('Your debts'!$F$12&lt;&gt;"",'Your debts'!$F$11&lt;&gt;"",'Your debts'!$F$12&lt;'Your debts'!$F$11),AL158,0)+IF(AND('Your debts'!$F$13&lt;&gt;"",'Your debts'!$F$11&lt;&gt;"",'Your debts'!$F$13&lt;'Your debts'!$F$11),AQ158,0)+IF(AND('Your debts'!$F$14&lt;&gt;"",'Your debts'!$F$11&lt;&gt;"",'Your debts'!$F$14&lt;'Your debts'!$F$11),AV158,0)+IF(AND('Your debts'!$F$15&lt;&gt;"",'Your debts'!$F$11&lt;&gt;"",'Your debts'!$F$15&lt;'Your debts'!$F$11),BA158,0)))))</f>
        <v/>
      </c>
      <c r="AI158" s="33">
        <f>AG158-AH158</f>
        <v/>
      </c>
      <c r="AJ158" s="33">
        <f>IF(AN157&lt;=0,0,ROUND(AN157*(1+'Your debts'!$D$12/1200),2))</f>
        <v/>
      </c>
      <c r="AK158" s="33">
        <f>IF(AJ158&lt;=0,0,MIN('Your debts'!$E$12,AJ158))</f>
        <v/>
      </c>
      <c r="AL158" s="33">
        <f>AJ158-AK158</f>
        <v/>
      </c>
      <c r="AM158" s="33">
        <f>IF('Your debts'!$F$12="",0,MIN(AL158,MAX(0,MAX(0,'Your debts'!$C$19-(G158+L158+Q158+V158+AA158+AF158+AK158+AP158+AU158+AZ158))-(IF(AND('Your debts'!$F$6&lt;&gt;"",'Your debts'!$F$12&lt;&gt;"",'Your debts'!$F$6&lt;'Your debts'!$F$12),H158,0)+IF(AND('Your debts'!$F$7&lt;&gt;"",'Your debts'!$F$12&lt;&gt;"",'Your debts'!$F$7&lt;'Your debts'!$F$12),M158,0)+IF(AND('Your debts'!$F$8&lt;&gt;"",'Your debts'!$F$12&lt;&gt;"",'Your debts'!$F$8&lt;'Your debts'!$F$12),R158,0)+IF(AND('Your debts'!$F$9&lt;&gt;"",'Your debts'!$F$12&lt;&gt;"",'Your debts'!$F$9&lt;'Your debts'!$F$12),W158,0)+IF(AND('Your debts'!$F$10&lt;&gt;"",'Your debts'!$F$12&lt;&gt;"",'Your debts'!$F$10&lt;'Your debts'!$F$12),AB158,0)+IF(AND('Your debts'!$F$11&lt;&gt;"",'Your debts'!$F$12&lt;&gt;"",'Your debts'!$F$11&lt;'Your debts'!$F$12),AG158,0)+IF(AND('Your debts'!$F$13&lt;&gt;"",'Your debts'!$F$12&lt;&gt;"",'Your debts'!$F$13&lt;'Your debts'!$F$12),AQ158,0)+IF(AND('Your debts'!$F$14&lt;&gt;"",'Your debts'!$F$12&lt;&gt;"",'Your debts'!$F$14&lt;'Your debts'!$F$12),AV158,0)+IF(AND('Your debts'!$F$15&lt;&gt;"",'Your debts'!$F$12&lt;&gt;"",'Your debts'!$F$15&lt;'Your debts'!$F$12),BA158,0)))))</f>
        <v/>
      </c>
      <c r="AN158" s="33">
        <f>AL158-AM158</f>
        <v/>
      </c>
      <c r="AO158" s="33">
        <f>IF(AS157&lt;=0,0,ROUND(AS157*(1+'Your debts'!$D$13/1200),2))</f>
        <v/>
      </c>
      <c r="AP158" s="33">
        <f>IF(AO158&lt;=0,0,MIN('Your debts'!$E$13,AO158))</f>
        <v/>
      </c>
      <c r="AQ158" s="33">
        <f>AO158-AP158</f>
        <v/>
      </c>
      <c r="AR158" s="33">
        <f>IF('Your debts'!$F$13="",0,MIN(AQ158,MAX(0,MAX(0,'Your debts'!$C$19-(G158+L158+Q158+V158+AA158+AF158+AK158+AP158+AU158+AZ158))-(IF(AND('Your debts'!$F$6&lt;&gt;"",'Your debts'!$F$13&lt;&gt;"",'Your debts'!$F$6&lt;'Your debts'!$F$13),H158,0)+IF(AND('Your debts'!$F$7&lt;&gt;"",'Your debts'!$F$13&lt;&gt;"",'Your debts'!$F$7&lt;'Your debts'!$F$13),M158,0)+IF(AND('Your debts'!$F$8&lt;&gt;"",'Your debts'!$F$13&lt;&gt;"",'Your debts'!$F$8&lt;'Your debts'!$F$13),R158,0)+IF(AND('Your debts'!$F$9&lt;&gt;"",'Your debts'!$F$13&lt;&gt;"",'Your debts'!$F$9&lt;'Your debts'!$F$13),W158,0)+IF(AND('Your debts'!$F$10&lt;&gt;"",'Your debts'!$F$13&lt;&gt;"",'Your debts'!$F$10&lt;'Your debts'!$F$13),AB158,0)+IF(AND('Your debts'!$F$11&lt;&gt;"",'Your debts'!$F$13&lt;&gt;"",'Your debts'!$F$11&lt;'Your debts'!$F$13),AG158,0)+IF(AND('Your debts'!$F$12&lt;&gt;"",'Your debts'!$F$13&lt;&gt;"",'Your debts'!$F$12&lt;'Your debts'!$F$13),AL158,0)+IF(AND('Your debts'!$F$14&lt;&gt;"",'Your debts'!$F$13&lt;&gt;"",'Your debts'!$F$14&lt;'Your debts'!$F$13),AV158,0)+IF(AND('Your debts'!$F$15&lt;&gt;"",'Your debts'!$F$13&lt;&gt;"",'Your debts'!$F$15&lt;'Your debts'!$F$13),BA158,0)))))</f>
        <v/>
      </c>
      <c r="AS158" s="33">
        <f>AQ158-AR158</f>
        <v/>
      </c>
      <c r="AT158" s="33">
        <f>IF(AX157&lt;=0,0,ROUND(AX157*(1+'Your debts'!$D$14/1200),2))</f>
        <v/>
      </c>
      <c r="AU158" s="33">
        <f>IF(AT158&lt;=0,0,MIN('Your debts'!$E$14,AT158))</f>
        <v/>
      </c>
      <c r="AV158" s="33">
        <f>AT158-AU158</f>
        <v/>
      </c>
      <c r="AW158" s="33">
        <f>IF('Your debts'!$F$14="",0,MIN(AV158,MAX(0,MAX(0,'Your debts'!$C$19-(G158+L158+Q158+V158+AA158+AF158+AK158+AP158+AU158+AZ158))-(IF(AND('Your debts'!$F$6&lt;&gt;"",'Your debts'!$F$14&lt;&gt;"",'Your debts'!$F$6&lt;'Your debts'!$F$14),H158,0)+IF(AND('Your debts'!$F$7&lt;&gt;"",'Your debts'!$F$14&lt;&gt;"",'Your debts'!$F$7&lt;'Your debts'!$F$14),M158,0)+IF(AND('Your debts'!$F$8&lt;&gt;"",'Your debts'!$F$14&lt;&gt;"",'Your debts'!$F$8&lt;'Your debts'!$F$14),R158,0)+IF(AND('Your debts'!$F$9&lt;&gt;"",'Your debts'!$F$14&lt;&gt;"",'Your debts'!$F$9&lt;'Your debts'!$F$14),W158,0)+IF(AND('Your debts'!$F$10&lt;&gt;"",'Your debts'!$F$14&lt;&gt;"",'Your debts'!$F$10&lt;'Your debts'!$F$14),AB158,0)+IF(AND('Your debts'!$F$11&lt;&gt;"",'Your debts'!$F$14&lt;&gt;"",'Your debts'!$F$11&lt;'Your debts'!$F$14),AG158,0)+IF(AND('Your debts'!$F$12&lt;&gt;"",'Your debts'!$F$14&lt;&gt;"",'Your debts'!$F$12&lt;'Your debts'!$F$14),AL158,0)+IF(AND('Your debts'!$F$13&lt;&gt;"",'Your debts'!$F$14&lt;&gt;"",'Your debts'!$F$13&lt;'Your debts'!$F$14),AQ158,0)+IF(AND('Your debts'!$F$15&lt;&gt;"",'Your debts'!$F$14&lt;&gt;"",'Your debts'!$F$15&lt;'Your debts'!$F$14),BA158,0)))))</f>
        <v/>
      </c>
      <c r="AX158" s="33">
        <f>AV158-AW158</f>
        <v/>
      </c>
      <c r="AY158" s="33">
        <f>IF(BC157&lt;=0,0,ROUND(BC157*(1+'Your debts'!$D$15/1200),2))</f>
        <v/>
      </c>
      <c r="AZ158" s="33">
        <f>IF(AY158&lt;=0,0,MIN('Your debts'!$E$15,AY158))</f>
        <v/>
      </c>
      <c r="BA158" s="33">
        <f>AY158-AZ158</f>
        <v/>
      </c>
      <c r="BB158" s="33">
        <f>IF('Your debts'!$F$15="",0,MIN(BA158,MAX(0,MAX(0,'Your debts'!$C$19-(G158+L158+Q158+V158+AA158+AF158+AK158+AP158+AU158+AZ158))-(IF(AND('Your debts'!$F$6&lt;&gt;"",'Your debts'!$F$15&lt;&gt;"",'Your debts'!$F$6&lt;'Your debts'!$F$15),H158,0)+IF(AND('Your debts'!$F$7&lt;&gt;"",'Your debts'!$F$15&lt;&gt;"",'Your debts'!$F$7&lt;'Your debts'!$F$15),M158,0)+IF(AND('Your debts'!$F$8&lt;&gt;"",'Your debts'!$F$15&lt;&gt;"",'Your debts'!$F$8&lt;'Your debts'!$F$15),R158,0)+IF(AND('Your debts'!$F$9&lt;&gt;"",'Your debts'!$F$15&lt;&gt;"",'Your debts'!$F$9&lt;'Your debts'!$F$15),W158,0)+IF(AND('Your debts'!$F$10&lt;&gt;"",'Your debts'!$F$15&lt;&gt;"",'Your debts'!$F$10&lt;'Your debts'!$F$15),AB158,0)+IF(AND('Your debts'!$F$11&lt;&gt;"",'Your debts'!$F$15&lt;&gt;"",'Your debts'!$F$11&lt;'Your debts'!$F$15),AG158,0)+IF(AND('Your debts'!$F$12&lt;&gt;"",'Your debts'!$F$15&lt;&gt;"",'Your debts'!$F$12&lt;'Your debts'!$F$15),AL158,0)+IF(AND('Your debts'!$F$13&lt;&gt;"",'Your debts'!$F$15&lt;&gt;"",'Your debts'!$F$13&lt;'Your debts'!$F$15),AQ158,0)+IF(AND('Your debts'!$F$14&lt;&gt;"",'Your debts'!$F$15&lt;&gt;"",'Your debts'!$F$14&lt;'Your debts'!$F$15),AV158,0)))))</f>
        <v/>
      </c>
      <c r="BC158" s="33">
        <f>BA158-BB158</f>
        <v/>
      </c>
    </row>
    <row r="159">
      <c r="A159" s="30" t="n">
        <v>144</v>
      </c>
      <c r="B159" s="31">
        <f>EDATE($B$15,144)</f>
        <v/>
      </c>
      <c r="C159" s="32">
        <f>IF(J158&lt;=0,0,F159-J158)+IF(O158&lt;=0,0,K159-O158)+IF(T158&lt;=0,0,P159-T158)+IF(Y158&lt;=0,0,U159-Y158)+IF(AD158&lt;=0,0,Z159-AD158)+IF(AI158&lt;=0,0,AE159-AI158)+IF(AN158&lt;=0,0,AJ159-AN158)+IF(AS158&lt;=0,0,AO159-AS158)+IF(AX158&lt;=0,0,AT159-AX158)+IF(BC158&lt;=0,0,AY159-BC158)</f>
        <v/>
      </c>
      <c r="D159" s="32">
        <f>G159+I159+L159+N159+Q159+S159+V159+X159+AA159+AC159+AF159+AH159+AK159+AM159+AP159+AR159+AU159+AW159+AZ159+BB159</f>
        <v/>
      </c>
      <c r="E159" s="32">
        <f>J159+O159+T159+Y159+AD159+AI159+AN159+AS159+AX159+BC159</f>
        <v/>
      </c>
      <c r="F159" s="33">
        <f>IF(J158&lt;=0,0,ROUND(J158*(1+'Your debts'!$D$6/1200),2))</f>
        <v/>
      </c>
      <c r="G159" s="33">
        <f>IF(F159&lt;=0,0,MIN('Your debts'!$E$6,F159))</f>
        <v/>
      </c>
      <c r="H159" s="33">
        <f>F159-G159</f>
        <v/>
      </c>
      <c r="I159" s="33">
        <f>IF('Your debts'!$F$6="",0,MIN(H159,MAX(0,MAX(0,'Your debts'!$C$19-(G159+L159+Q159+V159+AA159+AF159+AK159+AP159+AU159+AZ159))-(IF(AND('Your debts'!$F$7&lt;&gt;"",'Your debts'!$F$6&lt;&gt;"",'Your debts'!$F$7&lt;'Your debts'!$F$6),M159,0)+IF(AND('Your debts'!$F$8&lt;&gt;"",'Your debts'!$F$6&lt;&gt;"",'Your debts'!$F$8&lt;'Your debts'!$F$6),R159,0)+IF(AND('Your debts'!$F$9&lt;&gt;"",'Your debts'!$F$6&lt;&gt;"",'Your debts'!$F$9&lt;'Your debts'!$F$6),W159,0)+IF(AND('Your debts'!$F$10&lt;&gt;"",'Your debts'!$F$6&lt;&gt;"",'Your debts'!$F$10&lt;'Your debts'!$F$6),AB159,0)+IF(AND('Your debts'!$F$11&lt;&gt;"",'Your debts'!$F$6&lt;&gt;"",'Your debts'!$F$11&lt;'Your debts'!$F$6),AG159,0)+IF(AND('Your debts'!$F$12&lt;&gt;"",'Your debts'!$F$6&lt;&gt;"",'Your debts'!$F$12&lt;'Your debts'!$F$6),AL159,0)+IF(AND('Your debts'!$F$13&lt;&gt;"",'Your debts'!$F$6&lt;&gt;"",'Your debts'!$F$13&lt;'Your debts'!$F$6),AQ159,0)+IF(AND('Your debts'!$F$14&lt;&gt;"",'Your debts'!$F$6&lt;&gt;"",'Your debts'!$F$14&lt;'Your debts'!$F$6),AV159,0)+IF(AND('Your debts'!$F$15&lt;&gt;"",'Your debts'!$F$6&lt;&gt;"",'Your debts'!$F$15&lt;'Your debts'!$F$6),BA159,0)))))</f>
        <v/>
      </c>
      <c r="J159" s="33">
        <f>H159-I159</f>
        <v/>
      </c>
      <c r="K159" s="33">
        <f>IF(O158&lt;=0,0,ROUND(O158*(1+'Your debts'!$D$7/1200),2))</f>
        <v/>
      </c>
      <c r="L159" s="33">
        <f>IF(K159&lt;=0,0,MIN('Your debts'!$E$7,K159))</f>
        <v/>
      </c>
      <c r="M159" s="33">
        <f>K159-L159</f>
        <v/>
      </c>
      <c r="N159" s="33">
        <f>IF('Your debts'!$F$7="",0,MIN(M159,MAX(0,MAX(0,'Your debts'!$C$19-(G159+L159+Q159+V159+AA159+AF159+AK159+AP159+AU159+AZ159))-(IF(AND('Your debts'!$F$6&lt;&gt;"",'Your debts'!$F$7&lt;&gt;"",'Your debts'!$F$6&lt;'Your debts'!$F$7),H159,0)+IF(AND('Your debts'!$F$8&lt;&gt;"",'Your debts'!$F$7&lt;&gt;"",'Your debts'!$F$8&lt;'Your debts'!$F$7),R159,0)+IF(AND('Your debts'!$F$9&lt;&gt;"",'Your debts'!$F$7&lt;&gt;"",'Your debts'!$F$9&lt;'Your debts'!$F$7),W159,0)+IF(AND('Your debts'!$F$10&lt;&gt;"",'Your debts'!$F$7&lt;&gt;"",'Your debts'!$F$10&lt;'Your debts'!$F$7),AB159,0)+IF(AND('Your debts'!$F$11&lt;&gt;"",'Your debts'!$F$7&lt;&gt;"",'Your debts'!$F$11&lt;'Your debts'!$F$7),AG159,0)+IF(AND('Your debts'!$F$12&lt;&gt;"",'Your debts'!$F$7&lt;&gt;"",'Your debts'!$F$12&lt;'Your debts'!$F$7),AL159,0)+IF(AND('Your debts'!$F$13&lt;&gt;"",'Your debts'!$F$7&lt;&gt;"",'Your debts'!$F$13&lt;'Your debts'!$F$7),AQ159,0)+IF(AND('Your debts'!$F$14&lt;&gt;"",'Your debts'!$F$7&lt;&gt;"",'Your debts'!$F$14&lt;'Your debts'!$F$7),AV159,0)+IF(AND('Your debts'!$F$15&lt;&gt;"",'Your debts'!$F$7&lt;&gt;"",'Your debts'!$F$15&lt;'Your debts'!$F$7),BA159,0)))))</f>
        <v/>
      </c>
      <c r="O159" s="33">
        <f>M159-N159</f>
        <v/>
      </c>
      <c r="P159" s="33">
        <f>IF(T158&lt;=0,0,ROUND(T158*(1+'Your debts'!$D$8/1200),2))</f>
        <v/>
      </c>
      <c r="Q159" s="33">
        <f>IF(P159&lt;=0,0,MIN('Your debts'!$E$8,P159))</f>
        <v/>
      </c>
      <c r="R159" s="33">
        <f>P159-Q159</f>
        <v/>
      </c>
      <c r="S159" s="33">
        <f>IF('Your debts'!$F$8="",0,MIN(R159,MAX(0,MAX(0,'Your debts'!$C$19-(G159+L159+Q159+V159+AA159+AF159+AK159+AP159+AU159+AZ159))-(IF(AND('Your debts'!$F$6&lt;&gt;"",'Your debts'!$F$8&lt;&gt;"",'Your debts'!$F$6&lt;'Your debts'!$F$8),H159,0)+IF(AND('Your debts'!$F$7&lt;&gt;"",'Your debts'!$F$8&lt;&gt;"",'Your debts'!$F$7&lt;'Your debts'!$F$8),M159,0)+IF(AND('Your debts'!$F$9&lt;&gt;"",'Your debts'!$F$8&lt;&gt;"",'Your debts'!$F$9&lt;'Your debts'!$F$8),W159,0)+IF(AND('Your debts'!$F$10&lt;&gt;"",'Your debts'!$F$8&lt;&gt;"",'Your debts'!$F$10&lt;'Your debts'!$F$8),AB159,0)+IF(AND('Your debts'!$F$11&lt;&gt;"",'Your debts'!$F$8&lt;&gt;"",'Your debts'!$F$11&lt;'Your debts'!$F$8),AG159,0)+IF(AND('Your debts'!$F$12&lt;&gt;"",'Your debts'!$F$8&lt;&gt;"",'Your debts'!$F$12&lt;'Your debts'!$F$8),AL159,0)+IF(AND('Your debts'!$F$13&lt;&gt;"",'Your debts'!$F$8&lt;&gt;"",'Your debts'!$F$13&lt;'Your debts'!$F$8),AQ159,0)+IF(AND('Your debts'!$F$14&lt;&gt;"",'Your debts'!$F$8&lt;&gt;"",'Your debts'!$F$14&lt;'Your debts'!$F$8),AV159,0)+IF(AND('Your debts'!$F$15&lt;&gt;"",'Your debts'!$F$8&lt;&gt;"",'Your debts'!$F$15&lt;'Your debts'!$F$8),BA159,0)))))</f>
        <v/>
      </c>
      <c r="T159" s="33">
        <f>R159-S159</f>
        <v/>
      </c>
      <c r="U159" s="33">
        <f>IF(Y158&lt;=0,0,ROUND(Y158*(1+'Your debts'!$D$9/1200),2))</f>
        <v/>
      </c>
      <c r="V159" s="33">
        <f>IF(U159&lt;=0,0,MIN('Your debts'!$E$9,U159))</f>
        <v/>
      </c>
      <c r="W159" s="33">
        <f>U159-V159</f>
        <v/>
      </c>
      <c r="X159" s="33">
        <f>IF('Your debts'!$F$9="",0,MIN(W159,MAX(0,MAX(0,'Your debts'!$C$19-(G159+L159+Q159+V159+AA159+AF159+AK159+AP159+AU159+AZ159))-(IF(AND('Your debts'!$F$6&lt;&gt;"",'Your debts'!$F$9&lt;&gt;"",'Your debts'!$F$6&lt;'Your debts'!$F$9),H159,0)+IF(AND('Your debts'!$F$7&lt;&gt;"",'Your debts'!$F$9&lt;&gt;"",'Your debts'!$F$7&lt;'Your debts'!$F$9),M159,0)+IF(AND('Your debts'!$F$8&lt;&gt;"",'Your debts'!$F$9&lt;&gt;"",'Your debts'!$F$8&lt;'Your debts'!$F$9),R159,0)+IF(AND('Your debts'!$F$10&lt;&gt;"",'Your debts'!$F$9&lt;&gt;"",'Your debts'!$F$10&lt;'Your debts'!$F$9),AB159,0)+IF(AND('Your debts'!$F$11&lt;&gt;"",'Your debts'!$F$9&lt;&gt;"",'Your debts'!$F$11&lt;'Your debts'!$F$9),AG159,0)+IF(AND('Your debts'!$F$12&lt;&gt;"",'Your debts'!$F$9&lt;&gt;"",'Your debts'!$F$12&lt;'Your debts'!$F$9),AL159,0)+IF(AND('Your debts'!$F$13&lt;&gt;"",'Your debts'!$F$9&lt;&gt;"",'Your debts'!$F$13&lt;'Your debts'!$F$9),AQ159,0)+IF(AND('Your debts'!$F$14&lt;&gt;"",'Your debts'!$F$9&lt;&gt;"",'Your debts'!$F$14&lt;'Your debts'!$F$9),AV159,0)+IF(AND('Your debts'!$F$15&lt;&gt;"",'Your debts'!$F$9&lt;&gt;"",'Your debts'!$F$15&lt;'Your debts'!$F$9),BA159,0)))))</f>
        <v/>
      </c>
      <c r="Y159" s="33">
        <f>W159-X159</f>
        <v/>
      </c>
      <c r="Z159" s="33">
        <f>IF(AD158&lt;=0,0,ROUND(AD158*(1+'Your debts'!$D$10/1200),2))</f>
        <v/>
      </c>
      <c r="AA159" s="33">
        <f>IF(Z159&lt;=0,0,MIN('Your debts'!$E$10,Z159))</f>
        <v/>
      </c>
      <c r="AB159" s="33">
        <f>Z159-AA159</f>
        <v/>
      </c>
      <c r="AC159" s="33">
        <f>IF('Your debts'!$F$10="",0,MIN(AB159,MAX(0,MAX(0,'Your debts'!$C$19-(G159+L159+Q159+V159+AA159+AF159+AK159+AP159+AU159+AZ159))-(IF(AND('Your debts'!$F$6&lt;&gt;"",'Your debts'!$F$10&lt;&gt;"",'Your debts'!$F$6&lt;'Your debts'!$F$10),H159,0)+IF(AND('Your debts'!$F$7&lt;&gt;"",'Your debts'!$F$10&lt;&gt;"",'Your debts'!$F$7&lt;'Your debts'!$F$10),M159,0)+IF(AND('Your debts'!$F$8&lt;&gt;"",'Your debts'!$F$10&lt;&gt;"",'Your debts'!$F$8&lt;'Your debts'!$F$10),R159,0)+IF(AND('Your debts'!$F$9&lt;&gt;"",'Your debts'!$F$10&lt;&gt;"",'Your debts'!$F$9&lt;'Your debts'!$F$10),W159,0)+IF(AND('Your debts'!$F$11&lt;&gt;"",'Your debts'!$F$10&lt;&gt;"",'Your debts'!$F$11&lt;'Your debts'!$F$10),AG159,0)+IF(AND('Your debts'!$F$12&lt;&gt;"",'Your debts'!$F$10&lt;&gt;"",'Your debts'!$F$12&lt;'Your debts'!$F$10),AL159,0)+IF(AND('Your debts'!$F$13&lt;&gt;"",'Your debts'!$F$10&lt;&gt;"",'Your debts'!$F$13&lt;'Your debts'!$F$10),AQ159,0)+IF(AND('Your debts'!$F$14&lt;&gt;"",'Your debts'!$F$10&lt;&gt;"",'Your debts'!$F$14&lt;'Your debts'!$F$10),AV159,0)+IF(AND('Your debts'!$F$15&lt;&gt;"",'Your debts'!$F$10&lt;&gt;"",'Your debts'!$F$15&lt;'Your debts'!$F$10),BA159,0)))))</f>
        <v/>
      </c>
      <c r="AD159" s="33">
        <f>AB159-AC159</f>
        <v/>
      </c>
      <c r="AE159" s="33">
        <f>IF(AI158&lt;=0,0,ROUND(AI158*(1+'Your debts'!$D$11/1200),2))</f>
        <v/>
      </c>
      <c r="AF159" s="33">
        <f>IF(AE159&lt;=0,0,MIN('Your debts'!$E$11,AE159))</f>
        <v/>
      </c>
      <c r="AG159" s="33">
        <f>AE159-AF159</f>
        <v/>
      </c>
      <c r="AH159" s="33">
        <f>IF('Your debts'!$F$11="",0,MIN(AG159,MAX(0,MAX(0,'Your debts'!$C$19-(G159+L159+Q159+V159+AA159+AF159+AK159+AP159+AU159+AZ159))-(IF(AND('Your debts'!$F$6&lt;&gt;"",'Your debts'!$F$11&lt;&gt;"",'Your debts'!$F$6&lt;'Your debts'!$F$11),H159,0)+IF(AND('Your debts'!$F$7&lt;&gt;"",'Your debts'!$F$11&lt;&gt;"",'Your debts'!$F$7&lt;'Your debts'!$F$11),M159,0)+IF(AND('Your debts'!$F$8&lt;&gt;"",'Your debts'!$F$11&lt;&gt;"",'Your debts'!$F$8&lt;'Your debts'!$F$11),R159,0)+IF(AND('Your debts'!$F$9&lt;&gt;"",'Your debts'!$F$11&lt;&gt;"",'Your debts'!$F$9&lt;'Your debts'!$F$11),W159,0)+IF(AND('Your debts'!$F$10&lt;&gt;"",'Your debts'!$F$11&lt;&gt;"",'Your debts'!$F$10&lt;'Your debts'!$F$11),AB159,0)+IF(AND('Your debts'!$F$12&lt;&gt;"",'Your debts'!$F$11&lt;&gt;"",'Your debts'!$F$12&lt;'Your debts'!$F$11),AL159,0)+IF(AND('Your debts'!$F$13&lt;&gt;"",'Your debts'!$F$11&lt;&gt;"",'Your debts'!$F$13&lt;'Your debts'!$F$11),AQ159,0)+IF(AND('Your debts'!$F$14&lt;&gt;"",'Your debts'!$F$11&lt;&gt;"",'Your debts'!$F$14&lt;'Your debts'!$F$11),AV159,0)+IF(AND('Your debts'!$F$15&lt;&gt;"",'Your debts'!$F$11&lt;&gt;"",'Your debts'!$F$15&lt;'Your debts'!$F$11),BA159,0)))))</f>
        <v/>
      </c>
      <c r="AI159" s="33">
        <f>AG159-AH159</f>
        <v/>
      </c>
      <c r="AJ159" s="33">
        <f>IF(AN158&lt;=0,0,ROUND(AN158*(1+'Your debts'!$D$12/1200),2))</f>
        <v/>
      </c>
      <c r="AK159" s="33">
        <f>IF(AJ159&lt;=0,0,MIN('Your debts'!$E$12,AJ159))</f>
        <v/>
      </c>
      <c r="AL159" s="33">
        <f>AJ159-AK159</f>
        <v/>
      </c>
      <c r="AM159" s="33">
        <f>IF('Your debts'!$F$12="",0,MIN(AL159,MAX(0,MAX(0,'Your debts'!$C$19-(G159+L159+Q159+V159+AA159+AF159+AK159+AP159+AU159+AZ159))-(IF(AND('Your debts'!$F$6&lt;&gt;"",'Your debts'!$F$12&lt;&gt;"",'Your debts'!$F$6&lt;'Your debts'!$F$12),H159,0)+IF(AND('Your debts'!$F$7&lt;&gt;"",'Your debts'!$F$12&lt;&gt;"",'Your debts'!$F$7&lt;'Your debts'!$F$12),M159,0)+IF(AND('Your debts'!$F$8&lt;&gt;"",'Your debts'!$F$12&lt;&gt;"",'Your debts'!$F$8&lt;'Your debts'!$F$12),R159,0)+IF(AND('Your debts'!$F$9&lt;&gt;"",'Your debts'!$F$12&lt;&gt;"",'Your debts'!$F$9&lt;'Your debts'!$F$12),W159,0)+IF(AND('Your debts'!$F$10&lt;&gt;"",'Your debts'!$F$12&lt;&gt;"",'Your debts'!$F$10&lt;'Your debts'!$F$12),AB159,0)+IF(AND('Your debts'!$F$11&lt;&gt;"",'Your debts'!$F$12&lt;&gt;"",'Your debts'!$F$11&lt;'Your debts'!$F$12),AG159,0)+IF(AND('Your debts'!$F$13&lt;&gt;"",'Your debts'!$F$12&lt;&gt;"",'Your debts'!$F$13&lt;'Your debts'!$F$12),AQ159,0)+IF(AND('Your debts'!$F$14&lt;&gt;"",'Your debts'!$F$12&lt;&gt;"",'Your debts'!$F$14&lt;'Your debts'!$F$12),AV159,0)+IF(AND('Your debts'!$F$15&lt;&gt;"",'Your debts'!$F$12&lt;&gt;"",'Your debts'!$F$15&lt;'Your debts'!$F$12),BA159,0)))))</f>
        <v/>
      </c>
      <c r="AN159" s="33">
        <f>AL159-AM159</f>
        <v/>
      </c>
      <c r="AO159" s="33">
        <f>IF(AS158&lt;=0,0,ROUND(AS158*(1+'Your debts'!$D$13/1200),2))</f>
        <v/>
      </c>
      <c r="AP159" s="33">
        <f>IF(AO159&lt;=0,0,MIN('Your debts'!$E$13,AO159))</f>
        <v/>
      </c>
      <c r="AQ159" s="33">
        <f>AO159-AP159</f>
        <v/>
      </c>
      <c r="AR159" s="33">
        <f>IF('Your debts'!$F$13="",0,MIN(AQ159,MAX(0,MAX(0,'Your debts'!$C$19-(G159+L159+Q159+V159+AA159+AF159+AK159+AP159+AU159+AZ159))-(IF(AND('Your debts'!$F$6&lt;&gt;"",'Your debts'!$F$13&lt;&gt;"",'Your debts'!$F$6&lt;'Your debts'!$F$13),H159,0)+IF(AND('Your debts'!$F$7&lt;&gt;"",'Your debts'!$F$13&lt;&gt;"",'Your debts'!$F$7&lt;'Your debts'!$F$13),M159,0)+IF(AND('Your debts'!$F$8&lt;&gt;"",'Your debts'!$F$13&lt;&gt;"",'Your debts'!$F$8&lt;'Your debts'!$F$13),R159,0)+IF(AND('Your debts'!$F$9&lt;&gt;"",'Your debts'!$F$13&lt;&gt;"",'Your debts'!$F$9&lt;'Your debts'!$F$13),W159,0)+IF(AND('Your debts'!$F$10&lt;&gt;"",'Your debts'!$F$13&lt;&gt;"",'Your debts'!$F$10&lt;'Your debts'!$F$13),AB159,0)+IF(AND('Your debts'!$F$11&lt;&gt;"",'Your debts'!$F$13&lt;&gt;"",'Your debts'!$F$11&lt;'Your debts'!$F$13),AG159,0)+IF(AND('Your debts'!$F$12&lt;&gt;"",'Your debts'!$F$13&lt;&gt;"",'Your debts'!$F$12&lt;'Your debts'!$F$13),AL159,0)+IF(AND('Your debts'!$F$14&lt;&gt;"",'Your debts'!$F$13&lt;&gt;"",'Your debts'!$F$14&lt;'Your debts'!$F$13),AV159,0)+IF(AND('Your debts'!$F$15&lt;&gt;"",'Your debts'!$F$13&lt;&gt;"",'Your debts'!$F$15&lt;'Your debts'!$F$13),BA159,0)))))</f>
        <v/>
      </c>
      <c r="AS159" s="33">
        <f>AQ159-AR159</f>
        <v/>
      </c>
      <c r="AT159" s="33">
        <f>IF(AX158&lt;=0,0,ROUND(AX158*(1+'Your debts'!$D$14/1200),2))</f>
        <v/>
      </c>
      <c r="AU159" s="33">
        <f>IF(AT159&lt;=0,0,MIN('Your debts'!$E$14,AT159))</f>
        <v/>
      </c>
      <c r="AV159" s="33">
        <f>AT159-AU159</f>
        <v/>
      </c>
      <c r="AW159" s="33">
        <f>IF('Your debts'!$F$14="",0,MIN(AV159,MAX(0,MAX(0,'Your debts'!$C$19-(G159+L159+Q159+V159+AA159+AF159+AK159+AP159+AU159+AZ159))-(IF(AND('Your debts'!$F$6&lt;&gt;"",'Your debts'!$F$14&lt;&gt;"",'Your debts'!$F$6&lt;'Your debts'!$F$14),H159,0)+IF(AND('Your debts'!$F$7&lt;&gt;"",'Your debts'!$F$14&lt;&gt;"",'Your debts'!$F$7&lt;'Your debts'!$F$14),M159,0)+IF(AND('Your debts'!$F$8&lt;&gt;"",'Your debts'!$F$14&lt;&gt;"",'Your debts'!$F$8&lt;'Your debts'!$F$14),R159,0)+IF(AND('Your debts'!$F$9&lt;&gt;"",'Your debts'!$F$14&lt;&gt;"",'Your debts'!$F$9&lt;'Your debts'!$F$14),W159,0)+IF(AND('Your debts'!$F$10&lt;&gt;"",'Your debts'!$F$14&lt;&gt;"",'Your debts'!$F$10&lt;'Your debts'!$F$14),AB159,0)+IF(AND('Your debts'!$F$11&lt;&gt;"",'Your debts'!$F$14&lt;&gt;"",'Your debts'!$F$11&lt;'Your debts'!$F$14),AG159,0)+IF(AND('Your debts'!$F$12&lt;&gt;"",'Your debts'!$F$14&lt;&gt;"",'Your debts'!$F$12&lt;'Your debts'!$F$14),AL159,0)+IF(AND('Your debts'!$F$13&lt;&gt;"",'Your debts'!$F$14&lt;&gt;"",'Your debts'!$F$13&lt;'Your debts'!$F$14),AQ159,0)+IF(AND('Your debts'!$F$15&lt;&gt;"",'Your debts'!$F$14&lt;&gt;"",'Your debts'!$F$15&lt;'Your debts'!$F$14),BA159,0)))))</f>
        <v/>
      </c>
      <c r="AX159" s="33">
        <f>AV159-AW159</f>
        <v/>
      </c>
      <c r="AY159" s="33">
        <f>IF(BC158&lt;=0,0,ROUND(BC158*(1+'Your debts'!$D$15/1200),2))</f>
        <v/>
      </c>
      <c r="AZ159" s="33">
        <f>IF(AY159&lt;=0,0,MIN('Your debts'!$E$15,AY159))</f>
        <v/>
      </c>
      <c r="BA159" s="33">
        <f>AY159-AZ159</f>
        <v/>
      </c>
      <c r="BB159" s="33">
        <f>IF('Your debts'!$F$15="",0,MIN(BA159,MAX(0,MAX(0,'Your debts'!$C$19-(G159+L159+Q159+V159+AA159+AF159+AK159+AP159+AU159+AZ159))-(IF(AND('Your debts'!$F$6&lt;&gt;"",'Your debts'!$F$15&lt;&gt;"",'Your debts'!$F$6&lt;'Your debts'!$F$15),H159,0)+IF(AND('Your debts'!$F$7&lt;&gt;"",'Your debts'!$F$15&lt;&gt;"",'Your debts'!$F$7&lt;'Your debts'!$F$15),M159,0)+IF(AND('Your debts'!$F$8&lt;&gt;"",'Your debts'!$F$15&lt;&gt;"",'Your debts'!$F$8&lt;'Your debts'!$F$15),R159,0)+IF(AND('Your debts'!$F$9&lt;&gt;"",'Your debts'!$F$15&lt;&gt;"",'Your debts'!$F$9&lt;'Your debts'!$F$15),W159,0)+IF(AND('Your debts'!$F$10&lt;&gt;"",'Your debts'!$F$15&lt;&gt;"",'Your debts'!$F$10&lt;'Your debts'!$F$15),AB159,0)+IF(AND('Your debts'!$F$11&lt;&gt;"",'Your debts'!$F$15&lt;&gt;"",'Your debts'!$F$11&lt;'Your debts'!$F$15),AG159,0)+IF(AND('Your debts'!$F$12&lt;&gt;"",'Your debts'!$F$15&lt;&gt;"",'Your debts'!$F$12&lt;'Your debts'!$F$15),AL159,0)+IF(AND('Your debts'!$F$13&lt;&gt;"",'Your debts'!$F$15&lt;&gt;"",'Your debts'!$F$13&lt;'Your debts'!$F$15),AQ159,0)+IF(AND('Your debts'!$F$14&lt;&gt;"",'Your debts'!$F$15&lt;&gt;"",'Your debts'!$F$14&lt;'Your debts'!$F$15),AV159,0)))))</f>
        <v/>
      </c>
      <c r="BC159" s="33">
        <f>BA159-BB159</f>
        <v/>
      </c>
    </row>
    <row r="160">
      <c r="A160" s="30" t="n">
        <v>145</v>
      </c>
      <c r="B160" s="31">
        <f>EDATE($B$15,145)</f>
        <v/>
      </c>
      <c r="C160" s="32">
        <f>IF(J159&lt;=0,0,F160-J159)+IF(O159&lt;=0,0,K160-O159)+IF(T159&lt;=0,0,P160-T159)+IF(Y159&lt;=0,0,U160-Y159)+IF(AD159&lt;=0,0,Z160-AD159)+IF(AI159&lt;=0,0,AE160-AI159)+IF(AN159&lt;=0,0,AJ160-AN159)+IF(AS159&lt;=0,0,AO160-AS159)+IF(AX159&lt;=0,0,AT160-AX159)+IF(BC159&lt;=0,0,AY160-BC159)</f>
        <v/>
      </c>
      <c r="D160" s="32">
        <f>G160+I160+L160+N160+Q160+S160+V160+X160+AA160+AC160+AF160+AH160+AK160+AM160+AP160+AR160+AU160+AW160+AZ160+BB160</f>
        <v/>
      </c>
      <c r="E160" s="32">
        <f>J160+O160+T160+Y160+AD160+AI160+AN160+AS160+AX160+BC160</f>
        <v/>
      </c>
      <c r="F160" s="33">
        <f>IF(J159&lt;=0,0,ROUND(J159*(1+'Your debts'!$D$6/1200),2))</f>
        <v/>
      </c>
      <c r="G160" s="33">
        <f>IF(F160&lt;=0,0,MIN('Your debts'!$E$6,F160))</f>
        <v/>
      </c>
      <c r="H160" s="33">
        <f>F160-G160</f>
        <v/>
      </c>
      <c r="I160" s="33">
        <f>IF('Your debts'!$F$6="",0,MIN(H160,MAX(0,MAX(0,'Your debts'!$C$19-(G160+L160+Q160+V160+AA160+AF160+AK160+AP160+AU160+AZ160))-(IF(AND('Your debts'!$F$7&lt;&gt;"",'Your debts'!$F$6&lt;&gt;"",'Your debts'!$F$7&lt;'Your debts'!$F$6),M160,0)+IF(AND('Your debts'!$F$8&lt;&gt;"",'Your debts'!$F$6&lt;&gt;"",'Your debts'!$F$8&lt;'Your debts'!$F$6),R160,0)+IF(AND('Your debts'!$F$9&lt;&gt;"",'Your debts'!$F$6&lt;&gt;"",'Your debts'!$F$9&lt;'Your debts'!$F$6),W160,0)+IF(AND('Your debts'!$F$10&lt;&gt;"",'Your debts'!$F$6&lt;&gt;"",'Your debts'!$F$10&lt;'Your debts'!$F$6),AB160,0)+IF(AND('Your debts'!$F$11&lt;&gt;"",'Your debts'!$F$6&lt;&gt;"",'Your debts'!$F$11&lt;'Your debts'!$F$6),AG160,0)+IF(AND('Your debts'!$F$12&lt;&gt;"",'Your debts'!$F$6&lt;&gt;"",'Your debts'!$F$12&lt;'Your debts'!$F$6),AL160,0)+IF(AND('Your debts'!$F$13&lt;&gt;"",'Your debts'!$F$6&lt;&gt;"",'Your debts'!$F$13&lt;'Your debts'!$F$6),AQ160,0)+IF(AND('Your debts'!$F$14&lt;&gt;"",'Your debts'!$F$6&lt;&gt;"",'Your debts'!$F$14&lt;'Your debts'!$F$6),AV160,0)+IF(AND('Your debts'!$F$15&lt;&gt;"",'Your debts'!$F$6&lt;&gt;"",'Your debts'!$F$15&lt;'Your debts'!$F$6),BA160,0)))))</f>
        <v/>
      </c>
      <c r="J160" s="33">
        <f>H160-I160</f>
        <v/>
      </c>
      <c r="K160" s="33">
        <f>IF(O159&lt;=0,0,ROUND(O159*(1+'Your debts'!$D$7/1200),2))</f>
        <v/>
      </c>
      <c r="L160" s="33">
        <f>IF(K160&lt;=0,0,MIN('Your debts'!$E$7,K160))</f>
        <v/>
      </c>
      <c r="M160" s="33">
        <f>K160-L160</f>
        <v/>
      </c>
      <c r="N160" s="33">
        <f>IF('Your debts'!$F$7="",0,MIN(M160,MAX(0,MAX(0,'Your debts'!$C$19-(G160+L160+Q160+V160+AA160+AF160+AK160+AP160+AU160+AZ160))-(IF(AND('Your debts'!$F$6&lt;&gt;"",'Your debts'!$F$7&lt;&gt;"",'Your debts'!$F$6&lt;'Your debts'!$F$7),H160,0)+IF(AND('Your debts'!$F$8&lt;&gt;"",'Your debts'!$F$7&lt;&gt;"",'Your debts'!$F$8&lt;'Your debts'!$F$7),R160,0)+IF(AND('Your debts'!$F$9&lt;&gt;"",'Your debts'!$F$7&lt;&gt;"",'Your debts'!$F$9&lt;'Your debts'!$F$7),W160,0)+IF(AND('Your debts'!$F$10&lt;&gt;"",'Your debts'!$F$7&lt;&gt;"",'Your debts'!$F$10&lt;'Your debts'!$F$7),AB160,0)+IF(AND('Your debts'!$F$11&lt;&gt;"",'Your debts'!$F$7&lt;&gt;"",'Your debts'!$F$11&lt;'Your debts'!$F$7),AG160,0)+IF(AND('Your debts'!$F$12&lt;&gt;"",'Your debts'!$F$7&lt;&gt;"",'Your debts'!$F$12&lt;'Your debts'!$F$7),AL160,0)+IF(AND('Your debts'!$F$13&lt;&gt;"",'Your debts'!$F$7&lt;&gt;"",'Your debts'!$F$13&lt;'Your debts'!$F$7),AQ160,0)+IF(AND('Your debts'!$F$14&lt;&gt;"",'Your debts'!$F$7&lt;&gt;"",'Your debts'!$F$14&lt;'Your debts'!$F$7),AV160,0)+IF(AND('Your debts'!$F$15&lt;&gt;"",'Your debts'!$F$7&lt;&gt;"",'Your debts'!$F$15&lt;'Your debts'!$F$7),BA160,0)))))</f>
        <v/>
      </c>
      <c r="O160" s="33">
        <f>M160-N160</f>
        <v/>
      </c>
      <c r="P160" s="33">
        <f>IF(T159&lt;=0,0,ROUND(T159*(1+'Your debts'!$D$8/1200),2))</f>
        <v/>
      </c>
      <c r="Q160" s="33">
        <f>IF(P160&lt;=0,0,MIN('Your debts'!$E$8,P160))</f>
        <v/>
      </c>
      <c r="R160" s="33">
        <f>P160-Q160</f>
        <v/>
      </c>
      <c r="S160" s="33">
        <f>IF('Your debts'!$F$8="",0,MIN(R160,MAX(0,MAX(0,'Your debts'!$C$19-(G160+L160+Q160+V160+AA160+AF160+AK160+AP160+AU160+AZ160))-(IF(AND('Your debts'!$F$6&lt;&gt;"",'Your debts'!$F$8&lt;&gt;"",'Your debts'!$F$6&lt;'Your debts'!$F$8),H160,0)+IF(AND('Your debts'!$F$7&lt;&gt;"",'Your debts'!$F$8&lt;&gt;"",'Your debts'!$F$7&lt;'Your debts'!$F$8),M160,0)+IF(AND('Your debts'!$F$9&lt;&gt;"",'Your debts'!$F$8&lt;&gt;"",'Your debts'!$F$9&lt;'Your debts'!$F$8),W160,0)+IF(AND('Your debts'!$F$10&lt;&gt;"",'Your debts'!$F$8&lt;&gt;"",'Your debts'!$F$10&lt;'Your debts'!$F$8),AB160,0)+IF(AND('Your debts'!$F$11&lt;&gt;"",'Your debts'!$F$8&lt;&gt;"",'Your debts'!$F$11&lt;'Your debts'!$F$8),AG160,0)+IF(AND('Your debts'!$F$12&lt;&gt;"",'Your debts'!$F$8&lt;&gt;"",'Your debts'!$F$12&lt;'Your debts'!$F$8),AL160,0)+IF(AND('Your debts'!$F$13&lt;&gt;"",'Your debts'!$F$8&lt;&gt;"",'Your debts'!$F$13&lt;'Your debts'!$F$8),AQ160,0)+IF(AND('Your debts'!$F$14&lt;&gt;"",'Your debts'!$F$8&lt;&gt;"",'Your debts'!$F$14&lt;'Your debts'!$F$8),AV160,0)+IF(AND('Your debts'!$F$15&lt;&gt;"",'Your debts'!$F$8&lt;&gt;"",'Your debts'!$F$15&lt;'Your debts'!$F$8),BA160,0)))))</f>
        <v/>
      </c>
      <c r="T160" s="33">
        <f>R160-S160</f>
        <v/>
      </c>
      <c r="U160" s="33">
        <f>IF(Y159&lt;=0,0,ROUND(Y159*(1+'Your debts'!$D$9/1200),2))</f>
        <v/>
      </c>
      <c r="V160" s="33">
        <f>IF(U160&lt;=0,0,MIN('Your debts'!$E$9,U160))</f>
        <v/>
      </c>
      <c r="W160" s="33">
        <f>U160-V160</f>
        <v/>
      </c>
      <c r="X160" s="33">
        <f>IF('Your debts'!$F$9="",0,MIN(W160,MAX(0,MAX(0,'Your debts'!$C$19-(G160+L160+Q160+V160+AA160+AF160+AK160+AP160+AU160+AZ160))-(IF(AND('Your debts'!$F$6&lt;&gt;"",'Your debts'!$F$9&lt;&gt;"",'Your debts'!$F$6&lt;'Your debts'!$F$9),H160,0)+IF(AND('Your debts'!$F$7&lt;&gt;"",'Your debts'!$F$9&lt;&gt;"",'Your debts'!$F$7&lt;'Your debts'!$F$9),M160,0)+IF(AND('Your debts'!$F$8&lt;&gt;"",'Your debts'!$F$9&lt;&gt;"",'Your debts'!$F$8&lt;'Your debts'!$F$9),R160,0)+IF(AND('Your debts'!$F$10&lt;&gt;"",'Your debts'!$F$9&lt;&gt;"",'Your debts'!$F$10&lt;'Your debts'!$F$9),AB160,0)+IF(AND('Your debts'!$F$11&lt;&gt;"",'Your debts'!$F$9&lt;&gt;"",'Your debts'!$F$11&lt;'Your debts'!$F$9),AG160,0)+IF(AND('Your debts'!$F$12&lt;&gt;"",'Your debts'!$F$9&lt;&gt;"",'Your debts'!$F$12&lt;'Your debts'!$F$9),AL160,0)+IF(AND('Your debts'!$F$13&lt;&gt;"",'Your debts'!$F$9&lt;&gt;"",'Your debts'!$F$13&lt;'Your debts'!$F$9),AQ160,0)+IF(AND('Your debts'!$F$14&lt;&gt;"",'Your debts'!$F$9&lt;&gt;"",'Your debts'!$F$14&lt;'Your debts'!$F$9),AV160,0)+IF(AND('Your debts'!$F$15&lt;&gt;"",'Your debts'!$F$9&lt;&gt;"",'Your debts'!$F$15&lt;'Your debts'!$F$9),BA160,0)))))</f>
        <v/>
      </c>
      <c r="Y160" s="33">
        <f>W160-X160</f>
        <v/>
      </c>
      <c r="Z160" s="33">
        <f>IF(AD159&lt;=0,0,ROUND(AD159*(1+'Your debts'!$D$10/1200),2))</f>
        <v/>
      </c>
      <c r="AA160" s="33">
        <f>IF(Z160&lt;=0,0,MIN('Your debts'!$E$10,Z160))</f>
        <v/>
      </c>
      <c r="AB160" s="33">
        <f>Z160-AA160</f>
        <v/>
      </c>
      <c r="AC160" s="33">
        <f>IF('Your debts'!$F$10="",0,MIN(AB160,MAX(0,MAX(0,'Your debts'!$C$19-(G160+L160+Q160+V160+AA160+AF160+AK160+AP160+AU160+AZ160))-(IF(AND('Your debts'!$F$6&lt;&gt;"",'Your debts'!$F$10&lt;&gt;"",'Your debts'!$F$6&lt;'Your debts'!$F$10),H160,0)+IF(AND('Your debts'!$F$7&lt;&gt;"",'Your debts'!$F$10&lt;&gt;"",'Your debts'!$F$7&lt;'Your debts'!$F$10),M160,0)+IF(AND('Your debts'!$F$8&lt;&gt;"",'Your debts'!$F$10&lt;&gt;"",'Your debts'!$F$8&lt;'Your debts'!$F$10),R160,0)+IF(AND('Your debts'!$F$9&lt;&gt;"",'Your debts'!$F$10&lt;&gt;"",'Your debts'!$F$9&lt;'Your debts'!$F$10),W160,0)+IF(AND('Your debts'!$F$11&lt;&gt;"",'Your debts'!$F$10&lt;&gt;"",'Your debts'!$F$11&lt;'Your debts'!$F$10),AG160,0)+IF(AND('Your debts'!$F$12&lt;&gt;"",'Your debts'!$F$10&lt;&gt;"",'Your debts'!$F$12&lt;'Your debts'!$F$10),AL160,0)+IF(AND('Your debts'!$F$13&lt;&gt;"",'Your debts'!$F$10&lt;&gt;"",'Your debts'!$F$13&lt;'Your debts'!$F$10),AQ160,0)+IF(AND('Your debts'!$F$14&lt;&gt;"",'Your debts'!$F$10&lt;&gt;"",'Your debts'!$F$14&lt;'Your debts'!$F$10),AV160,0)+IF(AND('Your debts'!$F$15&lt;&gt;"",'Your debts'!$F$10&lt;&gt;"",'Your debts'!$F$15&lt;'Your debts'!$F$10),BA160,0)))))</f>
        <v/>
      </c>
      <c r="AD160" s="33">
        <f>AB160-AC160</f>
        <v/>
      </c>
      <c r="AE160" s="33">
        <f>IF(AI159&lt;=0,0,ROUND(AI159*(1+'Your debts'!$D$11/1200),2))</f>
        <v/>
      </c>
      <c r="AF160" s="33">
        <f>IF(AE160&lt;=0,0,MIN('Your debts'!$E$11,AE160))</f>
        <v/>
      </c>
      <c r="AG160" s="33">
        <f>AE160-AF160</f>
        <v/>
      </c>
      <c r="AH160" s="33">
        <f>IF('Your debts'!$F$11="",0,MIN(AG160,MAX(0,MAX(0,'Your debts'!$C$19-(G160+L160+Q160+V160+AA160+AF160+AK160+AP160+AU160+AZ160))-(IF(AND('Your debts'!$F$6&lt;&gt;"",'Your debts'!$F$11&lt;&gt;"",'Your debts'!$F$6&lt;'Your debts'!$F$11),H160,0)+IF(AND('Your debts'!$F$7&lt;&gt;"",'Your debts'!$F$11&lt;&gt;"",'Your debts'!$F$7&lt;'Your debts'!$F$11),M160,0)+IF(AND('Your debts'!$F$8&lt;&gt;"",'Your debts'!$F$11&lt;&gt;"",'Your debts'!$F$8&lt;'Your debts'!$F$11),R160,0)+IF(AND('Your debts'!$F$9&lt;&gt;"",'Your debts'!$F$11&lt;&gt;"",'Your debts'!$F$9&lt;'Your debts'!$F$11),W160,0)+IF(AND('Your debts'!$F$10&lt;&gt;"",'Your debts'!$F$11&lt;&gt;"",'Your debts'!$F$10&lt;'Your debts'!$F$11),AB160,0)+IF(AND('Your debts'!$F$12&lt;&gt;"",'Your debts'!$F$11&lt;&gt;"",'Your debts'!$F$12&lt;'Your debts'!$F$11),AL160,0)+IF(AND('Your debts'!$F$13&lt;&gt;"",'Your debts'!$F$11&lt;&gt;"",'Your debts'!$F$13&lt;'Your debts'!$F$11),AQ160,0)+IF(AND('Your debts'!$F$14&lt;&gt;"",'Your debts'!$F$11&lt;&gt;"",'Your debts'!$F$14&lt;'Your debts'!$F$11),AV160,0)+IF(AND('Your debts'!$F$15&lt;&gt;"",'Your debts'!$F$11&lt;&gt;"",'Your debts'!$F$15&lt;'Your debts'!$F$11),BA160,0)))))</f>
        <v/>
      </c>
      <c r="AI160" s="33">
        <f>AG160-AH160</f>
        <v/>
      </c>
      <c r="AJ160" s="33">
        <f>IF(AN159&lt;=0,0,ROUND(AN159*(1+'Your debts'!$D$12/1200),2))</f>
        <v/>
      </c>
      <c r="AK160" s="33">
        <f>IF(AJ160&lt;=0,0,MIN('Your debts'!$E$12,AJ160))</f>
        <v/>
      </c>
      <c r="AL160" s="33">
        <f>AJ160-AK160</f>
        <v/>
      </c>
      <c r="AM160" s="33">
        <f>IF('Your debts'!$F$12="",0,MIN(AL160,MAX(0,MAX(0,'Your debts'!$C$19-(G160+L160+Q160+V160+AA160+AF160+AK160+AP160+AU160+AZ160))-(IF(AND('Your debts'!$F$6&lt;&gt;"",'Your debts'!$F$12&lt;&gt;"",'Your debts'!$F$6&lt;'Your debts'!$F$12),H160,0)+IF(AND('Your debts'!$F$7&lt;&gt;"",'Your debts'!$F$12&lt;&gt;"",'Your debts'!$F$7&lt;'Your debts'!$F$12),M160,0)+IF(AND('Your debts'!$F$8&lt;&gt;"",'Your debts'!$F$12&lt;&gt;"",'Your debts'!$F$8&lt;'Your debts'!$F$12),R160,0)+IF(AND('Your debts'!$F$9&lt;&gt;"",'Your debts'!$F$12&lt;&gt;"",'Your debts'!$F$9&lt;'Your debts'!$F$12),W160,0)+IF(AND('Your debts'!$F$10&lt;&gt;"",'Your debts'!$F$12&lt;&gt;"",'Your debts'!$F$10&lt;'Your debts'!$F$12),AB160,0)+IF(AND('Your debts'!$F$11&lt;&gt;"",'Your debts'!$F$12&lt;&gt;"",'Your debts'!$F$11&lt;'Your debts'!$F$12),AG160,0)+IF(AND('Your debts'!$F$13&lt;&gt;"",'Your debts'!$F$12&lt;&gt;"",'Your debts'!$F$13&lt;'Your debts'!$F$12),AQ160,0)+IF(AND('Your debts'!$F$14&lt;&gt;"",'Your debts'!$F$12&lt;&gt;"",'Your debts'!$F$14&lt;'Your debts'!$F$12),AV160,0)+IF(AND('Your debts'!$F$15&lt;&gt;"",'Your debts'!$F$12&lt;&gt;"",'Your debts'!$F$15&lt;'Your debts'!$F$12),BA160,0)))))</f>
        <v/>
      </c>
      <c r="AN160" s="33">
        <f>AL160-AM160</f>
        <v/>
      </c>
      <c r="AO160" s="33">
        <f>IF(AS159&lt;=0,0,ROUND(AS159*(1+'Your debts'!$D$13/1200),2))</f>
        <v/>
      </c>
      <c r="AP160" s="33">
        <f>IF(AO160&lt;=0,0,MIN('Your debts'!$E$13,AO160))</f>
        <v/>
      </c>
      <c r="AQ160" s="33">
        <f>AO160-AP160</f>
        <v/>
      </c>
      <c r="AR160" s="33">
        <f>IF('Your debts'!$F$13="",0,MIN(AQ160,MAX(0,MAX(0,'Your debts'!$C$19-(G160+L160+Q160+V160+AA160+AF160+AK160+AP160+AU160+AZ160))-(IF(AND('Your debts'!$F$6&lt;&gt;"",'Your debts'!$F$13&lt;&gt;"",'Your debts'!$F$6&lt;'Your debts'!$F$13),H160,0)+IF(AND('Your debts'!$F$7&lt;&gt;"",'Your debts'!$F$13&lt;&gt;"",'Your debts'!$F$7&lt;'Your debts'!$F$13),M160,0)+IF(AND('Your debts'!$F$8&lt;&gt;"",'Your debts'!$F$13&lt;&gt;"",'Your debts'!$F$8&lt;'Your debts'!$F$13),R160,0)+IF(AND('Your debts'!$F$9&lt;&gt;"",'Your debts'!$F$13&lt;&gt;"",'Your debts'!$F$9&lt;'Your debts'!$F$13),W160,0)+IF(AND('Your debts'!$F$10&lt;&gt;"",'Your debts'!$F$13&lt;&gt;"",'Your debts'!$F$10&lt;'Your debts'!$F$13),AB160,0)+IF(AND('Your debts'!$F$11&lt;&gt;"",'Your debts'!$F$13&lt;&gt;"",'Your debts'!$F$11&lt;'Your debts'!$F$13),AG160,0)+IF(AND('Your debts'!$F$12&lt;&gt;"",'Your debts'!$F$13&lt;&gt;"",'Your debts'!$F$12&lt;'Your debts'!$F$13),AL160,0)+IF(AND('Your debts'!$F$14&lt;&gt;"",'Your debts'!$F$13&lt;&gt;"",'Your debts'!$F$14&lt;'Your debts'!$F$13),AV160,0)+IF(AND('Your debts'!$F$15&lt;&gt;"",'Your debts'!$F$13&lt;&gt;"",'Your debts'!$F$15&lt;'Your debts'!$F$13),BA160,0)))))</f>
        <v/>
      </c>
      <c r="AS160" s="33">
        <f>AQ160-AR160</f>
        <v/>
      </c>
      <c r="AT160" s="33">
        <f>IF(AX159&lt;=0,0,ROUND(AX159*(1+'Your debts'!$D$14/1200),2))</f>
        <v/>
      </c>
      <c r="AU160" s="33">
        <f>IF(AT160&lt;=0,0,MIN('Your debts'!$E$14,AT160))</f>
        <v/>
      </c>
      <c r="AV160" s="33">
        <f>AT160-AU160</f>
        <v/>
      </c>
      <c r="AW160" s="33">
        <f>IF('Your debts'!$F$14="",0,MIN(AV160,MAX(0,MAX(0,'Your debts'!$C$19-(G160+L160+Q160+V160+AA160+AF160+AK160+AP160+AU160+AZ160))-(IF(AND('Your debts'!$F$6&lt;&gt;"",'Your debts'!$F$14&lt;&gt;"",'Your debts'!$F$6&lt;'Your debts'!$F$14),H160,0)+IF(AND('Your debts'!$F$7&lt;&gt;"",'Your debts'!$F$14&lt;&gt;"",'Your debts'!$F$7&lt;'Your debts'!$F$14),M160,0)+IF(AND('Your debts'!$F$8&lt;&gt;"",'Your debts'!$F$14&lt;&gt;"",'Your debts'!$F$8&lt;'Your debts'!$F$14),R160,0)+IF(AND('Your debts'!$F$9&lt;&gt;"",'Your debts'!$F$14&lt;&gt;"",'Your debts'!$F$9&lt;'Your debts'!$F$14),W160,0)+IF(AND('Your debts'!$F$10&lt;&gt;"",'Your debts'!$F$14&lt;&gt;"",'Your debts'!$F$10&lt;'Your debts'!$F$14),AB160,0)+IF(AND('Your debts'!$F$11&lt;&gt;"",'Your debts'!$F$14&lt;&gt;"",'Your debts'!$F$11&lt;'Your debts'!$F$14),AG160,0)+IF(AND('Your debts'!$F$12&lt;&gt;"",'Your debts'!$F$14&lt;&gt;"",'Your debts'!$F$12&lt;'Your debts'!$F$14),AL160,0)+IF(AND('Your debts'!$F$13&lt;&gt;"",'Your debts'!$F$14&lt;&gt;"",'Your debts'!$F$13&lt;'Your debts'!$F$14),AQ160,0)+IF(AND('Your debts'!$F$15&lt;&gt;"",'Your debts'!$F$14&lt;&gt;"",'Your debts'!$F$15&lt;'Your debts'!$F$14),BA160,0)))))</f>
        <v/>
      </c>
      <c r="AX160" s="33">
        <f>AV160-AW160</f>
        <v/>
      </c>
      <c r="AY160" s="33">
        <f>IF(BC159&lt;=0,0,ROUND(BC159*(1+'Your debts'!$D$15/1200),2))</f>
        <v/>
      </c>
      <c r="AZ160" s="33">
        <f>IF(AY160&lt;=0,0,MIN('Your debts'!$E$15,AY160))</f>
        <v/>
      </c>
      <c r="BA160" s="33">
        <f>AY160-AZ160</f>
        <v/>
      </c>
      <c r="BB160" s="33">
        <f>IF('Your debts'!$F$15="",0,MIN(BA160,MAX(0,MAX(0,'Your debts'!$C$19-(G160+L160+Q160+V160+AA160+AF160+AK160+AP160+AU160+AZ160))-(IF(AND('Your debts'!$F$6&lt;&gt;"",'Your debts'!$F$15&lt;&gt;"",'Your debts'!$F$6&lt;'Your debts'!$F$15),H160,0)+IF(AND('Your debts'!$F$7&lt;&gt;"",'Your debts'!$F$15&lt;&gt;"",'Your debts'!$F$7&lt;'Your debts'!$F$15),M160,0)+IF(AND('Your debts'!$F$8&lt;&gt;"",'Your debts'!$F$15&lt;&gt;"",'Your debts'!$F$8&lt;'Your debts'!$F$15),R160,0)+IF(AND('Your debts'!$F$9&lt;&gt;"",'Your debts'!$F$15&lt;&gt;"",'Your debts'!$F$9&lt;'Your debts'!$F$15),W160,0)+IF(AND('Your debts'!$F$10&lt;&gt;"",'Your debts'!$F$15&lt;&gt;"",'Your debts'!$F$10&lt;'Your debts'!$F$15),AB160,0)+IF(AND('Your debts'!$F$11&lt;&gt;"",'Your debts'!$F$15&lt;&gt;"",'Your debts'!$F$11&lt;'Your debts'!$F$15),AG160,0)+IF(AND('Your debts'!$F$12&lt;&gt;"",'Your debts'!$F$15&lt;&gt;"",'Your debts'!$F$12&lt;'Your debts'!$F$15),AL160,0)+IF(AND('Your debts'!$F$13&lt;&gt;"",'Your debts'!$F$15&lt;&gt;"",'Your debts'!$F$13&lt;'Your debts'!$F$15),AQ160,0)+IF(AND('Your debts'!$F$14&lt;&gt;"",'Your debts'!$F$15&lt;&gt;"",'Your debts'!$F$14&lt;'Your debts'!$F$15),AV160,0)))))</f>
        <v/>
      </c>
      <c r="BC160" s="33">
        <f>BA160-BB160</f>
        <v/>
      </c>
    </row>
    <row r="161">
      <c r="A161" s="30" t="n">
        <v>146</v>
      </c>
      <c r="B161" s="31">
        <f>EDATE($B$15,146)</f>
        <v/>
      </c>
      <c r="C161" s="32">
        <f>IF(J160&lt;=0,0,F161-J160)+IF(O160&lt;=0,0,K161-O160)+IF(T160&lt;=0,0,P161-T160)+IF(Y160&lt;=0,0,U161-Y160)+IF(AD160&lt;=0,0,Z161-AD160)+IF(AI160&lt;=0,0,AE161-AI160)+IF(AN160&lt;=0,0,AJ161-AN160)+IF(AS160&lt;=0,0,AO161-AS160)+IF(AX160&lt;=0,0,AT161-AX160)+IF(BC160&lt;=0,0,AY161-BC160)</f>
        <v/>
      </c>
      <c r="D161" s="32">
        <f>G161+I161+L161+N161+Q161+S161+V161+X161+AA161+AC161+AF161+AH161+AK161+AM161+AP161+AR161+AU161+AW161+AZ161+BB161</f>
        <v/>
      </c>
      <c r="E161" s="32">
        <f>J161+O161+T161+Y161+AD161+AI161+AN161+AS161+AX161+BC161</f>
        <v/>
      </c>
      <c r="F161" s="33">
        <f>IF(J160&lt;=0,0,ROUND(J160*(1+'Your debts'!$D$6/1200),2))</f>
        <v/>
      </c>
      <c r="G161" s="33">
        <f>IF(F161&lt;=0,0,MIN('Your debts'!$E$6,F161))</f>
        <v/>
      </c>
      <c r="H161" s="33">
        <f>F161-G161</f>
        <v/>
      </c>
      <c r="I161" s="33">
        <f>IF('Your debts'!$F$6="",0,MIN(H161,MAX(0,MAX(0,'Your debts'!$C$19-(G161+L161+Q161+V161+AA161+AF161+AK161+AP161+AU161+AZ161))-(IF(AND('Your debts'!$F$7&lt;&gt;"",'Your debts'!$F$6&lt;&gt;"",'Your debts'!$F$7&lt;'Your debts'!$F$6),M161,0)+IF(AND('Your debts'!$F$8&lt;&gt;"",'Your debts'!$F$6&lt;&gt;"",'Your debts'!$F$8&lt;'Your debts'!$F$6),R161,0)+IF(AND('Your debts'!$F$9&lt;&gt;"",'Your debts'!$F$6&lt;&gt;"",'Your debts'!$F$9&lt;'Your debts'!$F$6),W161,0)+IF(AND('Your debts'!$F$10&lt;&gt;"",'Your debts'!$F$6&lt;&gt;"",'Your debts'!$F$10&lt;'Your debts'!$F$6),AB161,0)+IF(AND('Your debts'!$F$11&lt;&gt;"",'Your debts'!$F$6&lt;&gt;"",'Your debts'!$F$11&lt;'Your debts'!$F$6),AG161,0)+IF(AND('Your debts'!$F$12&lt;&gt;"",'Your debts'!$F$6&lt;&gt;"",'Your debts'!$F$12&lt;'Your debts'!$F$6),AL161,0)+IF(AND('Your debts'!$F$13&lt;&gt;"",'Your debts'!$F$6&lt;&gt;"",'Your debts'!$F$13&lt;'Your debts'!$F$6),AQ161,0)+IF(AND('Your debts'!$F$14&lt;&gt;"",'Your debts'!$F$6&lt;&gt;"",'Your debts'!$F$14&lt;'Your debts'!$F$6),AV161,0)+IF(AND('Your debts'!$F$15&lt;&gt;"",'Your debts'!$F$6&lt;&gt;"",'Your debts'!$F$15&lt;'Your debts'!$F$6),BA161,0)))))</f>
        <v/>
      </c>
      <c r="J161" s="33">
        <f>H161-I161</f>
        <v/>
      </c>
      <c r="K161" s="33">
        <f>IF(O160&lt;=0,0,ROUND(O160*(1+'Your debts'!$D$7/1200),2))</f>
        <v/>
      </c>
      <c r="L161" s="33">
        <f>IF(K161&lt;=0,0,MIN('Your debts'!$E$7,K161))</f>
        <v/>
      </c>
      <c r="M161" s="33">
        <f>K161-L161</f>
        <v/>
      </c>
      <c r="N161" s="33">
        <f>IF('Your debts'!$F$7="",0,MIN(M161,MAX(0,MAX(0,'Your debts'!$C$19-(G161+L161+Q161+V161+AA161+AF161+AK161+AP161+AU161+AZ161))-(IF(AND('Your debts'!$F$6&lt;&gt;"",'Your debts'!$F$7&lt;&gt;"",'Your debts'!$F$6&lt;'Your debts'!$F$7),H161,0)+IF(AND('Your debts'!$F$8&lt;&gt;"",'Your debts'!$F$7&lt;&gt;"",'Your debts'!$F$8&lt;'Your debts'!$F$7),R161,0)+IF(AND('Your debts'!$F$9&lt;&gt;"",'Your debts'!$F$7&lt;&gt;"",'Your debts'!$F$9&lt;'Your debts'!$F$7),W161,0)+IF(AND('Your debts'!$F$10&lt;&gt;"",'Your debts'!$F$7&lt;&gt;"",'Your debts'!$F$10&lt;'Your debts'!$F$7),AB161,0)+IF(AND('Your debts'!$F$11&lt;&gt;"",'Your debts'!$F$7&lt;&gt;"",'Your debts'!$F$11&lt;'Your debts'!$F$7),AG161,0)+IF(AND('Your debts'!$F$12&lt;&gt;"",'Your debts'!$F$7&lt;&gt;"",'Your debts'!$F$12&lt;'Your debts'!$F$7),AL161,0)+IF(AND('Your debts'!$F$13&lt;&gt;"",'Your debts'!$F$7&lt;&gt;"",'Your debts'!$F$13&lt;'Your debts'!$F$7),AQ161,0)+IF(AND('Your debts'!$F$14&lt;&gt;"",'Your debts'!$F$7&lt;&gt;"",'Your debts'!$F$14&lt;'Your debts'!$F$7),AV161,0)+IF(AND('Your debts'!$F$15&lt;&gt;"",'Your debts'!$F$7&lt;&gt;"",'Your debts'!$F$15&lt;'Your debts'!$F$7),BA161,0)))))</f>
        <v/>
      </c>
      <c r="O161" s="33">
        <f>M161-N161</f>
        <v/>
      </c>
      <c r="P161" s="33">
        <f>IF(T160&lt;=0,0,ROUND(T160*(1+'Your debts'!$D$8/1200),2))</f>
        <v/>
      </c>
      <c r="Q161" s="33">
        <f>IF(P161&lt;=0,0,MIN('Your debts'!$E$8,P161))</f>
        <v/>
      </c>
      <c r="R161" s="33">
        <f>P161-Q161</f>
        <v/>
      </c>
      <c r="S161" s="33">
        <f>IF('Your debts'!$F$8="",0,MIN(R161,MAX(0,MAX(0,'Your debts'!$C$19-(G161+L161+Q161+V161+AA161+AF161+AK161+AP161+AU161+AZ161))-(IF(AND('Your debts'!$F$6&lt;&gt;"",'Your debts'!$F$8&lt;&gt;"",'Your debts'!$F$6&lt;'Your debts'!$F$8),H161,0)+IF(AND('Your debts'!$F$7&lt;&gt;"",'Your debts'!$F$8&lt;&gt;"",'Your debts'!$F$7&lt;'Your debts'!$F$8),M161,0)+IF(AND('Your debts'!$F$9&lt;&gt;"",'Your debts'!$F$8&lt;&gt;"",'Your debts'!$F$9&lt;'Your debts'!$F$8),W161,0)+IF(AND('Your debts'!$F$10&lt;&gt;"",'Your debts'!$F$8&lt;&gt;"",'Your debts'!$F$10&lt;'Your debts'!$F$8),AB161,0)+IF(AND('Your debts'!$F$11&lt;&gt;"",'Your debts'!$F$8&lt;&gt;"",'Your debts'!$F$11&lt;'Your debts'!$F$8),AG161,0)+IF(AND('Your debts'!$F$12&lt;&gt;"",'Your debts'!$F$8&lt;&gt;"",'Your debts'!$F$12&lt;'Your debts'!$F$8),AL161,0)+IF(AND('Your debts'!$F$13&lt;&gt;"",'Your debts'!$F$8&lt;&gt;"",'Your debts'!$F$13&lt;'Your debts'!$F$8),AQ161,0)+IF(AND('Your debts'!$F$14&lt;&gt;"",'Your debts'!$F$8&lt;&gt;"",'Your debts'!$F$14&lt;'Your debts'!$F$8),AV161,0)+IF(AND('Your debts'!$F$15&lt;&gt;"",'Your debts'!$F$8&lt;&gt;"",'Your debts'!$F$15&lt;'Your debts'!$F$8),BA161,0)))))</f>
        <v/>
      </c>
      <c r="T161" s="33">
        <f>R161-S161</f>
        <v/>
      </c>
      <c r="U161" s="33">
        <f>IF(Y160&lt;=0,0,ROUND(Y160*(1+'Your debts'!$D$9/1200),2))</f>
        <v/>
      </c>
      <c r="V161" s="33">
        <f>IF(U161&lt;=0,0,MIN('Your debts'!$E$9,U161))</f>
        <v/>
      </c>
      <c r="W161" s="33">
        <f>U161-V161</f>
        <v/>
      </c>
      <c r="X161" s="33">
        <f>IF('Your debts'!$F$9="",0,MIN(W161,MAX(0,MAX(0,'Your debts'!$C$19-(G161+L161+Q161+V161+AA161+AF161+AK161+AP161+AU161+AZ161))-(IF(AND('Your debts'!$F$6&lt;&gt;"",'Your debts'!$F$9&lt;&gt;"",'Your debts'!$F$6&lt;'Your debts'!$F$9),H161,0)+IF(AND('Your debts'!$F$7&lt;&gt;"",'Your debts'!$F$9&lt;&gt;"",'Your debts'!$F$7&lt;'Your debts'!$F$9),M161,0)+IF(AND('Your debts'!$F$8&lt;&gt;"",'Your debts'!$F$9&lt;&gt;"",'Your debts'!$F$8&lt;'Your debts'!$F$9),R161,0)+IF(AND('Your debts'!$F$10&lt;&gt;"",'Your debts'!$F$9&lt;&gt;"",'Your debts'!$F$10&lt;'Your debts'!$F$9),AB161,0)+IF(AND('Your debts'!$F$11&lt;&gt;"",'Your debts'!$F$9&lt;&gt;"",'Your debts'!$F$11&lt;'Your debts'!$F$9),AG161,0)+IF(AND('Your debts'!$F$12&lt;&gt;"",'Your debts'!$F$9&lt;&gt;"",'Your debts'!$F$12&lt;'Your debts'!$F$9),AL161,0)+IF(AND('Your debts'!$F$13&lt;&gt;"",'Your debts'!$F$9&lt;&gt;"",'Your debts'!$F$13&lt;'Your debts'!$F$9),AQ161,0)+IF(AND('Your debts'!$F$14&lt;&gt;"",'Your debts'!$F$9&lt;&gt;"",'Your debts'!$F$14&lt;'Your debts'!$F$9),AV161,0)+IF(AND('Your debts'!$F$15&lt;&gt;"",'Your debts'!$F$9&lt;&gt;"",'Your debts'!$F$15&lt;'Your debts'!$F$9),BA161,0)))))</f>
        <v/>
      </c>
      <c r="Y161" s="33">
        <f>W161-X161</f>
        <v/>
      </c>
      <c r="Z161" s="33">
        <f>IF(AD160&lt;=0,0,ROUND(AD160*(1+'Your debts'!$D$10/1200),2))</f>
        <v/>
      </c>
      <c r="AA161" s="33">
        <f>IF(Z161&lt;=0,0,MIN('Your debts'!$E$10,Z161))</f>
        <v/>
      </c>
      <c r="AB161" s="33">
        <f>Z161-AA161</f>
        <v/>
      </c>
      <c r="AC161" s="33">
        <f>IF('Your debts'!$F$10="",0,MIN(AB161,MAX(0,MAX(0,'Your debts'!$C$19-(G161+L161+Q161+V161+AA161+AF161+AK161+AP161+AU161+AZ161))-(IF(AND('Your debts'!$F$6&lt;&gt;"",'Your debts'!$F$10&lt;&gt;"",'Your debts'!$F$6&lt;'Your debts'!$F$10),H161,0)+IF(AND('Your debts'!$F$7&lt;&gt;"",'Your debts'!$F$10&lt;&gt;"",'Your debts'!$F$7&lt;'Your debts'!$F$10),M161,0)+IF(AND('Your debts'!$F$8&lt;&gt;"",'Your debts'!$F$10&lt;&gt;"",'Your debts'!$F$8&lt;'Your debts'!$F$10),R161,0)+IF(AND('Your debts'!$F$9&lt;&gt;"",'Your debts'!$F$10&lt;&gt;"",'Your debts'!$F$9&lt;'Your debts'!$F$10),W161,0)+IF(AND('Your debts'!$F$11&lt;&gt;"",'Your debts'!$F$10&lt;&gt;"",'Your debts'!$F$11&lt;'Your debts'!$F$10),AG161,0)+IF(AND('Your debts'!$F$12&lt;&gt;"",'Your debts'!$F$10&lt;&gt;"",'Your debts'!$F$12&lt;'Your debts'!$F$10),AL161,0)+IF(AND('Your debts'!$F$13&lt;&gt;"",'Your debts'!$F$10&lt;&gt;"",'Your debts'!$F$13&lt;'Your debts'!$F$10),AQ161,0)+IF(AND('Your debts'!$F$14&lt;&gt;"",'Your debts'!$F$10&lt;&gt;"",'Your debts'!$F$14&lt;'Your debts'!$F$10),AV161,0)+IF(AND('Your debts'!$F$15&lt;&gt;"",'Your debts'!$F$10&lt;&gt;"",'Your debts'!$F$15&lt;'Your debts'!$F$10),BA161,0)))))</f>
        <v/>
      </c>
      <c r="AD161" s="33">
        <f>AB161-AC161</f>
        <v/>
      </c>
      <c r="AE161" s="33">
        <f>IF(AI160&lt;=0,0,ROUND(AI160*(1+'Your debts'!$D$11/1200),2))</f>
        <v/>
      </c>
      <c r="AF161" s="33">
        <f>IF(AE161&lt;=0,0,MIN('Your debts'!$E$11,AE161))</f>
        <v/>
      </c>
      <c r="AG161" s="33">
        <f>AE161-AF161</f>
        <v/>
      </c>
      <c r="AH161" s="33">
        <f>IF('Your debts'!$F$11="",0,MIN(AG161,MAX(0,MAX(0,'Your debts'!$C$19-(G161+L161+Q161+V161+AA161+AF161+AK161+AP161+AU161+AZ161))-(IF(AND('Your debts'!$F$6&lt;&gt;"",'Your debts'!$F$11&lt;&gt;"",'Your debts'!$F$6&lt;'Your debts'!$F$11),H161,0)+IF(AND('Your debts'!$F$7&lt;&gt;"",'Your debts'!$F$11&lt;&gt;"",'Your debts'!$F$7&lt;'Your debts'!$F$11),M161,0)+IF(AND('Your debts'!$F$8&lt;&gt;"",'Your debts'!$F$11&lt;&gt;"",'Your debts'!$F$8&lt;'Your debts'!$F$11),R161,0)+IF(AND('Your debts'!$F$9&lt;&gt;"",'Your debts'!$F$11&lt;&gt;"",'Your debts'!$F$9&lt;'Your debts'!$F$11),W161,0)+IF(AND('Your debts'!$F$10&lt;&gt;"",'Your debts'!$F$11&lt;&gt;"",'Your debts'!$F$10&lt;'Your debts'!$F$11),AB161,0)+IF(AND('Your debts'!$F$12&lt;&gt;"",'Your debts'!$F$11&lt;&gt;"",'Your debts'!$F$12&lt;'Your debts'!$F$11),AL161,0)+IF(AND('Your debts'!$F$13&lt;&gt;"",'Your debts'!$F$11&lt;&gt;"",'Your debts'!$F$13&lt;'Your debts'!$F$11),AQ161,0)+IF(AND('Your debts'!$F$14&lt;&gt;"",'Your debts'!$F$11&lt;&gt;"",'Your debts'!$F$14&lt;'Your debts'!$F$11),AV161,0)+IF(AND('Your debts'!$F$15&lt;&gt;"",'Your debts'!$F$11&lt;&gt;"",'Your debts'!$F$15&lt;'Your debts'!$F$11),BA161,0)))))</f>
        <v/>
      </c>
      <c r="AI161" s="33">
        <f>AG161-AH161</f>
        <v/>
      </c>
      <c r="AJ161" s="33">
        <f>IF(AN160&lt;=0,0,ROUND(AN160*(1+'Your debts'!$D$12/1200),2))</f>
        <v/>
      </c>
      <c r="AK161" s="33">
        <f>IF(AJ161&lt;=0,0,MIN('Your debts'!$E$12,AJ161))</f>
        <v/>
      </c>
      <c r="AL161" s="33">
        <f>AJ161-AK161</f>
        <v/>
      </c>
      <c r="AM161" s="33">
        <f>IF('Your debts'!$F$12="",0,MIN(AL161,MAX(0,MAX(0,'Your debts'!$C$19-(G161+L161+Q161+V161+AA161+AF161+AK161+AP161+AU161+AZ161))-(IF(AND('Your debts'!$F$6&lt;&gt;"",'Your debts'!$F$12&lt;&gt;"",'Your debts'!$F$6&lt;'Your debts'!$F$12),H161,0)+IF(AND('Your debts'!$F$7&lt;&gt;"",'Your debts'!$F$12&lt;&gt;"",'Your debts'!$F$7&lt;'Your debts'!$F$12),M161,0)+IF(AND('Your debts'!$F$8&lt;&gt;"",'Your debts'!$F$12&lt;&gt;"",'Your debts'!$F$8&lt;'Your debts'!$F$12),R161,0)+IF(AND('Your debts'!$F$9&lt;&gt;"",'Your debts'!$F$12&lt;&gt;"",'Your debts'!$F$9&lt;'Your debts'!$F$12),W161,0)+IF(AND('Your debts'!$F$10&lt;&gt;"",'Your debts'!$F$12&lt;&gt;"",'Your debts'!$F$10&lt;'Your debts'!$F$12),AB161,0)+IF(AND('Your debts'!$F$11&lt;&gt;"",'Your debts'!$F$12&lt;&gt;"",'Your debts'!$F$11&lt;'Your debts'!$F$12),AG161,0)+IF(AND('Your debts'!$F$13&lt;&gt;"",'Your debts'!$F$12&lt;&gt;"",'Your debts'!$F$13&lt;'Your debts'!$F$12),AQ161,0)+IF(AND('Your debts'!$F$14&lt;&gt;"",'Your debts'!$F$12&lt;&gt;"",'Your debts'!$F$14&lt;'Your debts'!$F$12),AV161,0)+IF(AND('Your debts'!$F$15&lt;&gt;"",'Your debts'!$F$12&lt;&gt;"",'Your debts'!$F$15&lt;'Your debts'!$F$12),BA161,0)))))</f>
        <v/>
      </c>
      <c r="AN161" s="33">
        <f>AL161-AM161</f>
        <v/>
      </c>
      <c r="AO161" s="33">
        <f>IF(AS160&lt;=0,0,ROUND(AS160*(1+'Your debts'!$D$13/1200),2))</f>
        <v/>
      </c>
      <c r="AP161" s="33">
        <f>IF(AO161&lt;=0,0,MIN('Your debts'!$E$13,AO161))</f>
        <v/>
      </c>
      <c r="AQ161" s="33">
        <f>AO161-AP161</f>
        <v/>
      </c>
      <c r="AR161" s="33">
        <f>IF('Your debts'!$F$13="",0,MIN(AQ161,MAX(0,MAX(0,'Your debts'!$C$19-(G161+L161+Q161+V161+AA161+AF161+AK161+AP161+AU161+AZ161))-(IF(AND('Your debts'!$F$6&lt;&gt;"",'Your debts'!$F$13&lt;&gt;"",'Your debts'!$F$6&lt;'Your debts'!$F$13),H161,0)+IF(AND('Your debts'!$F$7&lt;&gt;"",'Your debts'!$F$13&lt;&gt;"",'Your debts'!$F$7&lt;'Your debts'!$F$13),M161,0)+IF(AND('Your debts'!$F$8&lt;&gt;"",'Your debts'!$F$13&lt;&gt;"",'Your debts'!$F$8&lt;'Your debts'!$F$13),R161,0)+IF(AND('Your debts'!$F$9&lt;&gt;"",'Your debts'!$F$13&lt;&gt;"",'Your debts'!$F$9&lt;'Your debts'!$F$13),W161,0)+IF(AND('Your debts'!$F$10&lt;&gt;"",'Your debts'!$F$13&lt;&gt;"",'Your debts'!$F$10&lt;'Your debts'!$F$13),AB161,0)+IF(AND('Your debts'!$F$11&lt;&gt;"",'Your debts'!$F$13&lt;&gt;"",'Your debts'!$F$11&lt;'Your debts'!$F$13),AG161,0)+IF(AND('Your debts'!$F$12&lt;&gt;"",'Your debts'!$F$13&lt;&gt;"",'Your debts'!$F$12&lt;'Your debts'!$F$13),AL161,0)+IF(AND('Your debts'!$F$14&lt;&gt;"",'Your debts'!$F$13&lt;&gt;"",'Your debts'!$F$14&lt;'Your debts'!$F$13),AV161,0)+IF(AND('Your debts'!$F$15&lt;&gt;"",'Your debts'!$F$13&lt;&gt;"",'Your debts'!$F$15&lt;'Your debts'!$F$13),BA161,0)))))</f>
        <v/>
      </c>
      <c r="AS161" s="33">
        <f>AQ161-AR161</f>
        <v/>
      </c>
      <c r="AT161" s="33">
        <f>IF(AX160&lt;=0,0,ROUND(AX160*(1+'Your debts'!$D$14/1200),2))</f>
        <v/>
      </c>
      <c r="AU161" s="33">
        <f>IF(AT161&lt;=0,0,MIN('Your debts'!$E$14,AT161))</f>
        <v/>
      </c>
      <c r="AV161" s="33">
        <f>AT161-AU161</f>
        <v/>
      </c>
      <c r="AW161" s="33">
        <f>IF('Your debts'!$F$14="",0,MIN(AV161,MAX(0,MAX(0,'Your debts'!$C$19-(G161+L161+Q161+V161+AA161+AF161+AK161+AP161+AU161+AZ161))-(IF(AND('Your debts'!$F$6&lt;&gt;"",'Your debts'!$F$14&lt;&gt;"",'Your debts'!$F$6&lt;'Your debts'!$F$14),H161,0)+IF(AND('Your debts'!$F$7&lt;&gt;"",'Your debts'!$F$14&lt;&gt;"",'Your debts'!$F$7&lt;'Your debts'!$F$14),M161,0)+IF(AND('Your debts'!$F$8&lt;&gt;"",'Your debts'!$F$14&lt;&gt;"",'Your debts'!$F$8&lt;'Your debts'!$F$14),R161,0)+IF(AND('Your debts'!$F$9&lt;&gt;"",'Your debts'!$F$14&lt;&gt;"",'Your debts'!$F$9&lt;'Your debts'!$F$14),W161,0)+IF(AND('Your debts'!$F$10&lt;&gt;"",'Your debts'!$F$14&lt;&gt;"",'Your debts'!$F$10&lt;'Your debts'!$F$14),AB161,0)+IF(AND('Your debts'!$F$11&lt;&gt;"",'Your debts'!$F$14&lt;&gt;"",'Your debts'!$F$11&lt;'Your debts'!$F$14),AG161,0)+IF(AND('Your debts'!$F$12&lt;&gt;"",'Your debts'!$F$14&lt;&gt;"",'Your debts'!$F$12&lt;'Your debts'!$F$14),AL161,0)+IF(AND('Your debts'!$F$13&lt;&gt;"",'Your debts'!$F$14&lt;&gt;"",'Your debts'!$F$13&lt;'Your debts'!$F$14),AQ161,0)+IF(AND('Your debts'!$F$15&lt;&gt;"",'Your debts'!$F$14&lt;&gt;"",'Your debts'!$F$15&lt;'Your debts'!$F$14),BA161,0)))))</f>
        <v/>
      </c>
      <c r="AX161" s="33">
        <f>AV161-AW161</f>
        <v/>
      </c>
      <c r="AY161" s="33">
        <f>IF(BC160&lt;=0,0,ROUND(BC160*(1+'Your debts'!$D$15/1200),2))</f>
        <v/>
      </c>
      <c r="AZ161" s="33">
        <f>IF(AY161&lt;=0,0,MIN('Your debts'!$E$15,AY161))</f>
        <v/>
      </c>
      <c r="BA161" s="33">
        <f>AY161-AZ161</f>
        <v/>
      </c>
      <c r="BB161" s="33">
        <f>IF('Your debts'!$F$15="",0,MIN(BA161,MAX(0,MAX(0,'Your debts'!$C$19-(G161+L161+Q161+V161+AA161+AF161+AK161+AP161+AU161+AZ161))-(IF(AND('Your debts'!$F$6&lt;&gt;"",'Your debts'!$F$15&lt;&gt;"",'Your debts'!$F$6&lt;'Your debts'!$F$15),H161,0)+IF(AND('Your debts'!$F$7&lt;&gt;"",'Your debts'!$F$15&lt;&gt;"",'Your debts'!$F$7&lt;'Your debts'!$F$15),M161,0)+IF(AND('Your debts'!$F$8&lt;&gt;"",'Your debts'!$F$15&lt;&gt;"",'Your debts'!$F$8&lt;'Your debts'!$F$15),R161,0)+IF(AND('Your debts'!$F$9&lt;&gt;"",'Your debts'!$F$15&lt;&gt;"",'Your debts'!$F$9&lt;'Your debts'!$F$15),W161,0)+IF(AND('Your debts'!$F$10&lt;&gt;"",'Your debts'!$F$15&lt;&gt;"",'Your debts'!$F$10&lt;'Your debts'!$F$15),AB161,0)+IF(AND('Your debts'!$F$11&lt;&gt;"",'Your debts'!$F$15&lt;&gt;"",'Your debts'!$F$11&lt;'Your debts'!$F$15),AG161,0)+IF(AND('Your debts'!$F$12&lt;&gt;"",'Your debts'!$F$15&lt;&gt;"",'Your debts'!$F$12&lt;'Your debts'!$F$15),AL161,0)+IF(AND('Your debts'!$F$13&lt;&gt;"",'Your debts'!$F$15&lt;&gt;"",'Your debts'!$F$13&lt;'Your debts'!$F$15),AQ161,0)+IF(AND('Your debts'!$F$14&lt;&gt;"",'Your debts'!$F$15&lt;&gt;"",'Your debts'!$F$14&lt;'Your debts'!$F$15),AV161,0)))))</f>
        <v/>
      </c>
      <c r="BC161" s="33">
        <f>BA161-BB161</f>
        <v/>
      </c>
    </row>
    <row r="162">
      <c r="A162" s="30" t="n">
        <v>147</v>
      </c>
      <c r="B162" s="31">
        <f>EDATE($B$15,147)</f>
        <v/>
      </c>
      <c r="C162" s="32">
        <f>IF(J161&lt;=0,0,F162-J161)+IF(O161&lt;=0,0,K162-O161)+IF(T161&lt;=0,0,P162-T161)+IF(Y161&lt;=0,0,U162-Y161)+IF(AD161&lt;=0,0,Z162-AD161)+IF(AI161&lt;=0,0,AE162-AI161)+IF(AN161&lt;=0,0,AJ162-AN161)+IF(AS161&lt;=0,0,AO162-AS161)+IF(AX161&lt;=0,0,AT162-AX161)+IF(BC161&lt;=0,0,AY162-BC161)</f>
        <v/>
      </c>
      <c r="D162" s="32">
        <f>G162+I162+L162+N162+Q162+S162+V162+X162+AA162+AC162+AF162+AH162+AK162+AM162+AP162+AR162+AU162+AW162+AZ162+BB162</f>
        <v/>
      </c>
      <c r="E162" s="32">
        <f>J162+O162+T162+Y162+AD162+AI162+AN162+AS162+AX162+BC162</f>
        <v/>
      </c>
      <c r="F162" s="33">
        <f>IF(J161&lt;=0,0,ROUND(J161*(1+'Your debts'!$D$6/1200),2))</f>
        <v/>
      </c>
      <c r="G162" s="33">
        <f>IF(F162&lt;=0,0,MIN('Your debts'!$E$6,F162))</f>
        <v/>
      </c>
      <c r="H162" s="33">
        <f>F162-G162</f>
        <v/>
      </c>
      <c r="I162" s="33">
        <f>IF('Your debts'!$F$6="",0,MIN(H162,MAX(0,MAX(0,'Your debts'!$C$19-(G162+L162+Q162+V162+AA162+AF162+AK162+AP162+AU162+AZ162))-(IF(AND('Your debts'!$F$7&lt;&gt;"",'Your debts'!$F$6&lt;&gt;"",'Your debts'!$F$7&lt;'Your debts'!$F$6),M162,0)+IF(AND('Your debts'!$F$8&lt;&gt;"",'Your debts'!$F$6&lt;&gt;"",'Your debts'!$F$8&lt;'Your debts'!$F$6),R162,0)+IF(AND('Your debts'!$F$9&lt;&gt;"",'Your debts'!$F$6&lt;&gt;"",'Your debts'!$F$9&lt;'Your debts'!$F$6),W162,0)+IF(AND('Your debts'!$F$10&lt;&gt;"",'Your debts'!$F$6&lt;&gt;"",'Your debts'!$F$10&lt;'Your debts'!$F$6),AB162,0)+IF(AND('Your debts'!$F$11&lt;&gt;"",'Your debts'!$F$6&lt;&gt;"",'Your debts'!$F$11&lt;'Your debts'!$F$6),AG162,0)+IF(AND('Your debts'!$F$12&lt;&gt;"",'Your debts'!$F$6&lt;&gt;"",'Your debts'!$F$12&lt;'Your debts'!$F$6),AL162,0)+IF(AND('Your debts'!$F$13&lt;&gt;"",'Your debts'!$F$6&lt;&gt;"",'Your debts'!$F$13&lt;'Your debts'!$F$6),AQ162,0)+IF(AND('Your debts'!$F$14&lt;&gt;"",'Your debts'!$F$6&lt;&gt;"",'Your debts'!$F$14&lt;'Your debts'!$F$6),AV162,0)+IF(AND('Your debts'!$F$15&lt;&gt;"",'Your debts'!$F$6&lt;&gt;"",'Your debts'!$F$15&lt;'Your debts'!$F$6),BA162,0)))))</f>
        <v/>
      </c>
      <c r="J162" s="33">
        <f>H162-I162</f>
        <v/>
      </c>
      <c r="K162" s="33">
        <f>IF(O161&lt;=0,0,ROUND(O161*(1+'Your debts'!$D$7/1200),2))</f>
        <v/>
      </c>
      <c r="L162" s="33">
        <f>IF(K162&lt;=0,0,MIN('Your debts'!$E$7,K162))</f>
        <v/>
      </c>
      <c r="M162" s="33">
        <f>K162-L162</f>
        <v/>
      </c>
      <c r="N162" s="33">
        <f>IF('Your debts'!$F$7="",0,MIN(M162,MAX(0,MAX(0,'Your debts'!$C$19-(G162+L162+Q162+V162+AA162+AF162+AK162+AP162+AU162+AZ162))-(IF(AND('Your debts'!$F$6&lt;&gt;"",'Your debts'!$F$7&lt;&gt;"",'Your debts'!$F$6&lt;'Your debts'!$F$7),H162,0)+IF(AND('Your debts'!$F$8&lt;&gt;"",'Your debts'!$F$7&lt;&gt;"",'Your debts'!$F$8&lt;'Your debts'!$F$7),R162,0)+IF(AND('Your debts'!$F$9&lt;&gt;"",'Your debts'!$F$7&lt;&gt;"",'Your debts'!$F$9&lt;'Your debts'!$F$7),W162,0)+IF(AND('Your debts'!$F$10&lt;&gt;"",'Your debts'!$F$7&lt;&gt;"",'Your debts'!$F$10&lt;'Your debts'!$F$7),AB162,0)+IF(AND('Your debts'!$F$11&lt;&gt;"",'Your debts'!$F$7&lt;&gt;"",'Your debts'!$F$11&lt;'Your debts'!$F$7),AG162,0)+IF(AND('Your debts'!$F$12&lt;&gt;"",'Your debts'!$F$7&lt;&gt;"",'Your debts'!$F$12&lt;'Your debts'!$F$7),AL162,0)+IF(AND('Your debts'!$F$13&lt;&gt;"",'Your debts'!$F$7&lt;&gt;"",'Your debts'!$F$13&lt;'Your debts'!$F$7),AQ162,0)+IF(AND('Your debts'!$F$14&lt;&gt;"",'Your debts'!$F$7&lt;&gt;"",'Your debts'!$F$14&lt;'Your debts'!$F$7),AV162,0)+IF(AND('Your debts'!$F$15&lt;&gt;"",'Your debts'!$F$7&lt;&gt;"",'Your debts'!$F$15&lt;'Your debts'!$F$7),BA162,0)))))</f>
        <v/>
      </c>
      <c r="O162" s="33">
        <f>M162-N162</f>
        <v/>
      </c>
      <c r="P162" s="33">
        <f>IF(T161&lt;=0,0,ROUND(T161*(1+'Your debts'!$D$8/1200),2))</f>
        <v/>
      </c>
      <c r="Q162" s="33">
        <f>IF(P162&lt;=0,0,MIN('Your debts'!$E$8,P162))</f>
        <v/>
      </c>
      <c r="R162" s="33">
        <f>P162-Q162</f>
        <v/>
      </c>
      <c r="S162" s="33">
        <f>IF('Your debts'!$F$8="",0,MIN(R162,MAX(0,MAX(0,'Your debts'!$C$19-(G162+L162+Q162+V162+AA162+AF162+AK162+AP162+AU162+AZ162))-(IF(AND('Your debts'!$F$6&lt;&gt;"",'Your debts'!$F$8&lt;&gt;"",'Your debts'!$F$6&lt;'Your debts'!$F$8),H162,0)+IF(AND('Your debts'!$F$7&lt;&gt;"",'Your debts'!$F$8&lt;&gt;"",'Your debts'!$F$7&lt;'Your debts'!$F$8),M162,0)+IF(AND('Your debts'!$F$9&lt;&gt;"",'Your debts'!$F$8&lt;&gt;"",'Your debts'!$F$9&lt;'Your debts'!$F$8),W162,0)+IF(AND('Your debts'!$F$10&lt;&gt;"",'Your debts'!$F$8&lt;&gt;"",'Your debts'!$F$10&lt;'Your debts'!$F$8),AB162,0)+IF(AND('Your debts'!$F$11&lt;&gt;"",'Your debts'!$F$8&lt;&gt;"",'Your debts'!$F$11&lt;'Your debts'!$F$8),AG162,0)+IF(AND('Your debts'!$F$12&lt;&gt;"",'Your debts'!$F$8&lt;&gt;"",'Your debts'!$F$12&lt;'Your debts'!$F$8),AL162,0)+IF(AND('Your debts'!$F$13&lt;&gt;"",'Your debts'!$F$8&lt;&gt;"",'Your debts'!$F$13&lt;'Your debts'!$F$8),AQ162,0)+IF(AND('Your debts'!$F$14&lt;&gt;"",'Your debts'!$F$8&lt;&gt;"",'Your debts'!$F$14&lt;'Your debts'!$F$8),AV162,0)+IF(AND('Your debts'!$F$15&lt;&gt;"",'Your debts'!$F$8&lt;&gt;"",'Your debts'!$F$15&lt;'Your debts'!$F$8),BA162,0)))))</f>
        <v/>
      </c>
      <c r="T162" s="33">
        <f>R162-S162</f>
        <v/>
      </c>
      <c r="U162" s="33">
        <f>IF(Y161&lt;=0,0,ROUND(Y161*(1+'Your debts'!$D$9/1200),2))</f>
        <v/>
      </c>
      <c r="V162" s="33">
        <f>IF(U162&lt;=0,0,MIN('Your debts'!$E$9,U162))</f>
        <v/>
      </c>
      <c r="W162" s="33">
        <f>U162-V162</f>
        <v/>
      </c>
      <c r="X162" s="33">
        <f>IF('Your debts'!$F$9="",0,MIN(W162,MAX(0,MAX(0,'Your debts'!$C$19-(G162+L162+Q162+V162+AA162+AF162+AK162+AP162+AU162+AZ162))-(IF(AND('Your debts'!$F$6&lt;&gt;"",'Your debts'!$F$9&lt;&gt;"",'Your debts'!$F$6&lt;'Your debts'!$F$9),H162,0)+IF(AND('Your debts'!$F$7&lt;&gt;"",'Your debts'!$F$9&lt;&gt;"",'Your debts'!$F$7&lt;'Your debts'!$F$9),M162,0)+IF(AND('Your debts'!$F$8&lt;&gt;"",'Your debts'!$F$9&lt;&gt;"",'Your debts'!$F$8&lt;'Your debts'!$F$9),R162,0)+IF(AND('Your debts'!$F$10&lt;&gt;"",'Your debts'!$F$9&lt;&gt;"",'Your debts'!$F$10&lt;'Your debts'!$F$9),AB162,0)+IF(AND('Your debts'!$F$11&lt;&gt;"",'Your debts'!$F$9&lt;&gt;"",'Your debts'!$F$11&lt;'Your debts'!$F$9),AG162,0)+IF(AND('Your debts'!$F$12&lt;&gt;"",'Your debts'!$F$9&lt;&gt;"",'Your debts'!$F$12&lt;'Your debts'!$F$9),AL162,0)+IF(AND('Your debts'!$F$13&lt;&gt;"",'Your debts'!$F$9&lt;&gt;"",'Your debts'!$F$13&lt;'Your debts'!$F$9),AQ162,0)+IF(AND('Your debts'!$F$14&lt;&gt;"",'Your debts'!$F$9&lt;&gt;"",'Your debts'!$F$14&lt;'Your debts'!$F$9),AV162,0)+IF(AND('Your debts'!$F$15&lt;&gt;"",'Your debts'!$F$9&lt;&gt;"",'Your debts'!$F$15&lt;'Your debts'!$F$9),BA162,0)))))</f>
        <v/>
      </c>
      <c r="Y162" s="33">
        <f>W162-X162</f>
        <v/>
      </c>
      <c r="Z162" s="33">
        <f>IF(AD161&lt;=0,0,ROUND(AD161*(1+'Your debts'!$D$10/1200),2))</f>
        <v/>
      </c>
      <c r="AA162" s="33">
        <f>IF(Z162&lt;=0,0,MIN('Your debts'!$E$10,Z162))</f>
        <v/>
      </c>
      <c r="AB162" s="33">
        <f>Z162-AA162</f>
        <v/>
      </c>
      <c r="AC162" s="33">
        <f>IF('Your debts'!$F$10="",0,MIN(AB162,MAX(0,MAX(0,'Your debts'!$C$19-(G162+L162+Q162+V162+AA162+AF162+AK162+AP162+AU162+AZ162))-(IF(AND('Your debts'!$F$6&lt;&gt;"",'Your debts'!$F$10&lt;&gt;"",'Your debts'!$F$6&lt;'Your debts'!$F$10),H162,0)+IF(AND('Your debts'!$F$7&lt;&gt;"",'Your debts'!$F$10&lt;&gt;"",'Your debts'!$F$7&lt;'Your debts'!$F$10),M162,0)+IF(AND('Your debts'!$F$8&lt;&gt;"",'Your debts'!$F$10&lt;&gt;"",'Your debts'!$F$8&lt;'Your debts'!$F$10),R162,0)+IF(AND('Your debts'!$F$9&lt;&gt;"",'Your debts'!$F$10&lt;&gt;"",'Your debts'!$F$9&lt;'Your debts'!$F$10),W162,0)+IF(AND('Your debts'!$F$11&lt;&gt;"",'Your debts'!$F$10&lt;&gt;"",'Your debts'!$F$11&lt;'Your debts'!$F$10),AG162,0)+IF(AND('Your debts'!$F$12&lt;&gt;"",'Your debts'!$F$10&lt;&gt;"",'Your debts'!$F$12&lt;'Your debts'!$F$10),AL162,0)+IF(AND('Your debts'!$F$13&lt;&gt;"",'Your debts'!$F$10&lt;&gt;"",'Your debts'!$F$13&lt;'Your debts'!$F$10),AQ162,0)+IF(AND('Your debts'!$F$14&lt;&gt;"",'Your debts'!$F$10&lt;&gt;"",'Your debts'!$F$14&lt;'Your debts'!$F$10),AV162,0)+IF(AND('Your debts'!$F$15&lt;&gt;"",'Your debts'!$F$10&lt;&gt;"",'Your debts'!$F$15&lt;'Your debts'!$F$10),BA162,0)))))</f>
        <v/>
      </c>
      <c r="AD162" s="33">
        <f>AB162-AC162</f>
        <v/>
      </c>
      <c r="AE162" s="33">
        <f>IF(AI161&lt;=0,0,ROUND(AI161*(1+'Your debts'!$D$11/1200),2))</f>
        <v/>
      </c>
      <c r="AF162" s="33">
        <f>IF(AE162&lt;=0,0,MIN('Your debts'!$E$11,AE162))</f>
        <v/>
      </c>
      <c r="AG162" s="33">
        <f>AE162-AF162</f>
        <v/>
      </c>
      <c r="AH162" s="33">
        <f>IF('Your debts'!$F$11="",0,MIN(AG162,MAX(0,MAX(0,'Your debts'!$C$19-(G162+L162+Q162+V162+AA162+AF162+AK162+AP162+AU162+AZ162))-(IF(AND('Your debts'!$F$6&lt;&gt;"",'Your debts'!$F$11&lt;&gt;"",'Your debts'!$F$6&lt;'Your debts'!$F$11),H162,0)+IF(AND('Your debts'!$F$7&lt;&gt;"",'Your debts'!$F$11&lt;&gt;"",'Your debts'!$F$7&lt;'Your debts'!$F$11),M162,0)+IF(AND('Your debts'!$F$8&lt;&gt;"",'Your debts'!$F$11&lt;&gt;"",'Your debts'!$F$8&lt;'Your debts'!$F$11),R162,0)+IF(AND('Your debts'!$F$9&lt;&gt;"",'Your debts'!$F$11&lt;&gt;"",'Your debts'!$F$9&lt;'Your debts'!$F$11),W162,0)+IF(AND('Your debts'!$F$10&lt;&gt;"",'Your debts'!$F$11&lt;&gt;"",'Your debts'!$F$10&lt;'Your debts'!$F$11),AB162,0)+IF(AND('Your debts'!$F$12&lt;&gt;"",'Your debts'!$F$11&lt;&gt;"",'Your debts'!$F$12&lt;'Your debts'!$F$11),AL162,0)+IF(AND('Your debts'!$F$13&lt;&gt;"",'Your debts'!$F$11&lt;&gt;"",'Your debts'!$F$13&lt;'Your debts'!$F$11),AQ162,0)+IF(AND('Your debts'!$F$14&lt;&gt;"",'Your debts'!$F$11&lt;&gt;"",'Your debts'!$F$14&lt;'Your debts'!$F$11),AV162,0)+IF(AND('Your debts'!$F$15&lt;&gt;"",'Your debts'!$F$11&lt;&gt;"",'Your debts'!$F$15&lt;'Your debts'!$F$11),BA162,0)))))</f>
        <v/>
      </c>
      <c r="AI162" s="33">
        <f>AG162-AH162</f>
        <v/>
      </c>
      <c r="AJ162" s="33">
        <f>IF(AN161&lt;=0,0,ROUND(AN161*(1+'Your debts'!$D$12/1200),2))</f>
        <v/>
      </c>
      <c r="AK162" s="33">
        <f>IF(AJ162&lt;=0,0,MIN('Your debts'!$E$12,AJ162))</f>
        <v/>
      </c>
      <c r="AL162" s="33">
        <f>AJ162-AK162</f>
        <v/>
      </c>
      <c r="AM162" s="33">
        <f>IF('Your debts'!$F$12="",0,MIN(AL162,MAX(0,MAX(0,'Your debts'!$C$19-(G162+L162+Q162+V162+AA162+AF162+AK162+AP162+AU162+AZ162))-(IF(AND('Your debts'!$F$6&lt;&gt;"",'Your debts'!$F$12&lt;&gt;"",'Your debts'!$F$6&lt;'Your debts'!$F$12),H162,0)+IF(AND('Your debts'!$F$7&lt;&gt;"",'Your debts'!$F$12&lt;&gt;"",'Your debts'!$F$7&lt;'Your debts'!$F$12),M162,0)+IF(AND('Your debts'!$F$8&lt;&gt;"",'Your debts'!$F$12&lt;&gt;"",'Your debts'!$F$8&lt;'Your debts'!$F$12),R162,0)+IF(AND('Your debts'!$F$9&lt;&gt;"",'Your debts'!$F$12&lt;&gt;"",'Your debts'!$F$9&lt;'Your debts'!$F$12),W162,0)+IF(AND('Your debts'!$F$10&lt;&gt;"",'Your debts'!$F$12&lt;&gt;"",'Your debts'!$F$10&lt;'Your debts'!$F$12),AB162,0)+IF(AND('Your debts'!$F$11&lt;&gt;"",'Your debts'!$F$12&lt;&gt;"",'Your debts'!$F$11&lt;'Your debts'!$F$12),AG162,0)+IF(AND('Your debts'!$F$13&lt;&gt;"",'Your debts'!$F$12&lt;&gt;"",'Your debts'!$F$13&lt;'Your debts'!$F$12),AQ162,0)+IF(AND('Your debts'!$F$14&lt;&gt;"",'Your debts'!$F$12&lt;&gt;"",'Your debts'!$F$14&lt;'Your debts'!$F$12),AV162,0)+IF(AND('Your debts'!$F$15&lt;&gt;"",'Your debts'!$F$12&lt;&gt;"",'Your debts'!$F$15&lt;'Your debts'!$F$12),BA162,0)))))</f>
        <v/>
      </c>
      <c r="AN162" s="33">
        <f>AL162-AM162</f>
        <v/>
      </c>
      <c r="AO162" s="33">
        <f>IF(AS161&lt;=0,0,ROUND(AS161*(1+'Your debts'!$D$13/1200),2))</f>
        <v/>
      </c>
      <c r="AP162" s="33">
        <f>IF(AO162&lt;=0,0,MIN('Your debts'!$E$13,AO162))</f>
        <v/>
      </c>
      <c r="AQ162" s="33">
        <f>AO162-AP162</f>
        <v/>
      </c>
      <c r="AR162" s="33">
        <f>IF('Your debts'!$F$13="",0,MIN(AQ162,MAX(0,MAX(0,'Your debts'!$C$19-(G162+L162+Q162+V162+AA162+AF162+AK162+AP162+AU162+AZ162))-(IF(AND('Your debts'!$F$6&lt;&gt;"",'Your debts'!$F$13&lt;&gt;"",'Your debts'!$F$6&lt;'Your debts'!$F$13),H162,0)+IF(AND('Your debts'!$F$7&lt;&gt;"",'Your debts'!$F$13&lt;&gt;"",'Your debts'!$F$7&lt;'Your debts'!$F$13),M162,0)+IF(AND('Your debts'!$F$8&lt;&gt;"",'Your debts'!$F$13&lt;&gt;"",'Your debts'!$F$8&lt;'Your debts'!$F$13),R162,0)+IF(AND('Your debts'!$F$9&lt;&gt;"",'Your debts'!$F$13&lt;&gt;"",'Your debts'!$F$9&lt;'Your debts'!$F$13),W162,0)+IF(AND('Your debts'!$F$10&lt;&gt;"",'Your debts'!$F$13&lt;&gt;"",'Your debts'!$F$10&lt;'Your debts'!$F$13),AB162,0)+IF(AND('Your debts'!$F$11&lt;&gt;"",'Your debts'!$F$13&lt;&gt;"",'Your debts'!$F$11&lt;'Your debts'!$F$13),AG162,0)+IF(AND('Your debts'!$F$12&lt;&gt;"",'Your debts'!$F$13&lt;&gt;"",'Your debts'!$F$12&lt;'Your debts'!$F$13),AL162,0)+IF(AND('Your debts'!$F$14&lt;&gt;"",'Your debts'!$F$13&lt;&gt;"",'Your debts'!$F$14&lt;'Your debts'!$F$13),AV162,0)+IF(AND('Your debts'!$F$15&lt;&gt;"",'Your debts'!$F$13&lt;&gt;"",'Your debts'!$F$15&lt;'Your debts'!$F$13),BA162,0)))))</f>
        <v/>
      </c>
      <c r="AS162" s="33">
        <f>AQ162-AR162</f>
        <v/>
      </c>
      <c r="AT162" s="33">
        <f>IF(AX161&lt;=0,0,ROUND(AX161*(1+'Your debts'!$D$14/1200),2))</f>
        <v/>
      </c>
      <c r="AU162" s="33">
        <f>IF(AT162&lt;=0,0,MIN('Your debts'!$E$14,AT162))</f>
        <v/>
      </c>
      <c r="AV162" s="33">
        <f>AT162-AU162</f>
        <v/>
      </c>
      <c r="AW162" s="33">
        <f>IF('Your debts'!$F$14="",0,MIN(AV162,MAX(0,MAX(0,'Your debts'!$C$19-(G162+L162+Q162+V162+AA162+AF162+AK162+AP162+AU162+AZ162))-(IF(AND('Your debts'!$F$6&lt;&gt;"",'Your debts'!$F$14&lt;&gt;"",'Your debts'!$F$6&lt;'Your debts'!$F$14),H162,0)+IF(AND('Your debts'!$F$7&lt;&gt;"",'Your debts'!$F$14&lt;&gt;"",'Your debts'!$F$7&lt;'Your debts'!$F$14),M162,0)+IF(AND('Your debts'!$F$8&lt;&gt;"",'Your debts'!$F$14&lt;&gt;"",'Your debts'!$F$8&lt;'Your debts'!$F$14),R162,0)+IF(AND('Your debts'!$F$9&lt;&gt;"",'Your debts'!$F$14&lt;&gt;"",'Your debts'!$F$9&lt;'Your debts'!$F$14),W162,0)+IF(AND('Your debts'!$F$10&lt;&gt;"",'Your debts'!$F$14&lt;&gt;"",'Your debts'!$F$10&lt;'Your debts'!$F$14),AB162,0)+IF(AND('Your debts'!$F$11&lt;&gt;"",'Your debts'!$F$14&lt;&gt;"",'Your debts'!$F$11&lt;'Your debts'!$F$14),AG162,0)+IF(AND('Your debts'!$F$12&lt;&gt;"",'Your debts'!$F$14&lt;&gt;"",'Your debts'!$F$12&lt;'Your debts'!$F$14),AL162,0)+IF(AND('Your debts'!$F$13&lt;&gt;"",'Your debts'!$F$14&lt;&gt;"",'Your debts'!$F$13&lt;'Your debts'!$F$14),AQ162,0)+IF(AND('Your debts'!$F$15&lt;&gt;"",'Your debts'!$F$14&lt;&gt;"",'Your debts'!$F$15&lt;'Your debts'!$F$14),BA162,0)))))</f>
        <v/>
      </c>
      <c r="AX162" s="33">
        <f>AV162-AW162</f>
        <v/>
      </c>
      <c r="AY162" s="33">
        <f>IF(BC161&lt;=0,0,ROUND(BC161*(1+'Your debts'!$D$15/1200),2))</f>
        <v/>
      </c>
      <c r="AZ162" s="33">
        <f>IF(AY162&lt;=0,0,MIN('Your debts'!$E$15,AY162))</f>
        <v/>
      </c>
      <c r="BA162" s="33">
        <f>AY162-AZ162</f>
        <v/>
      </c>
      <c r="BB162" s="33">
        <f>IF('Your debts'!$F$15="",0,MIN(BA162,MAX(0,MAX(0,'Your debts'!$C$19-(G162+L162+Q162+V162+AA162+AF162+AK162+AP162+AU162+AZ162))-(IF(AND('Your debts'!$F$6&lt;&gt;"",'Your debts'!$F$15&lt;&gt;"",'Your debts'!$F$6&lt;'Your debts'!$F$15),H162,0)+IF(AND('Your debts'!$F$7&lt;&gt;"",'Your debts'!$F$15&lt;&gt;"",'Your debts'!$F$7&lt;'Your debts'!$F$15),M162,0)+IF(AND('Your debts'!$F$8&lt;&gt;"",'Your debts'!$F$15&lt;&gt;"",'Your debts'!$F$8&lt;'Your debts'!$F$15),R162,0)+IF(AND('Your debts'!$F$9&lt;&gt;"",'Your debts'!$F$15&lt;&gt;"",'Your debts'!$F$9&lt;'Your debts'!$F$15),W162,0)+IF(AND('Your debts'!$F$10&lt;&gt;"",'Your debts'!$F$15&lt;&gt;"",'Your debts'!$F$10&lt;'Your debts'!$F$15),AB162,0)+IF(AND('Your debts'!$F$11&lt;&gt;"",'Your debts'!$F$15&lt;&gt;"",'Your debts'!$F$11&lt;'Your debts'!$F$15),AG162,0)+IF(AND('Your debts'!$F$12&lt;&gt;"",'Your debts'!$F$15&lt;&gt;"",'Your debts'!$F$12&lt;'Your debts'!$F$15),AL162,0)+IF(AND('Your debts'!$F$13&lt;&gt;"",'Your debts'!$F$15&lt;&gt;"",'Your debts'!$F$13&lt;'Your debts'!$F$15),AQ162,0)+IF(AND('Your debts'!$F$14&lt;&gt;"",'Your debts'!$F$15&lt;&gt;"",'Your debts'!$F$14&lt;'Your debts'!$F$15),AV162,0)))))</f>
        <v/>
      </c>
      <c r="BC162" s="33">
        <f>BA162-BB162</f>
        <v/>
      </c>
    </row>
    <row r="163">
      <c r="A163" s="30" t="n">
        <v>148</v>
      </c>
      <c r="B163" s="31">
        <f>EDATE($B$15,148)</f>
        <v/>
      </c>
      <c r="C163" s="32">
        <f>IF(J162&lt;=0,0,F163-J162)+IF(O162&lt;=0,0,K163-O162)+IF(T162&lt;=0,0,P163-T162)+IF(Y162&lt;=0,0,U163-Y162)+IF(AD162&lt;=0,0,Z163-AD162)+IF(AI162&lt;=0,0,AE163-AI162)+IF(AN162&lt;=0,0,AJ163-AN162)+IF(AS162&lt;=0,0,AO163-AS162)+IF(AX162&lt;=0,0,AT163-AX162)+IF(BC162&lt;=0,0,AY163-BC162)</f>
        <v/>
      </c>
      <c r="D163" s="32">
        <f>G163+I163+L163+N163+Q163+S163+V163+X163+AA163+AC163+AF163+AH163+AK163+AM163+AP163+AR163+AU163+AW163+AZ163+BB163</f>
        <v/>
      </c>
      <c r="E163" s="32">
        <f>J163+O163+T163+Y163+AD163+AI163+AN163+AS163+AX163+BC163</f>
        <v/>
      </c>
      <c r="F163" s="33">
        <f>IF(J162&lt;=0,0,ROUND(J162*(1+'Your debts'!$D$6/1200),2))</f>
        <v/>
      </c>
      <c r="G163" s="33">
        <f>IF(F163&lt;=0,0,MIN('Your debts'!$E$6,F163))</f>
        <v/>
      </c>
      <c r="H163" s="33">
        <f>F163-G163</f>
        <v/>
      </c>
      <c r="I163" s="33">
        <f>IF('Your debts'!$F$6="",0,MIN(H163,MAX(0,MAX(0,'Your debts'!$C$19-(G163+L163+Q163+V163+AA163+AF163+AK163+AP163+AU163+AZ163))-(IF(AND('Your debts'!$F$7&lt;&gt;"",'Your debts'!$F$6&lt;&gt;"",'Your debts'!$F$7&lt;'Your debts'!$F$6),M163,0)+IF(AND('Your debts'!$F$8&lt;&gt;"",'Your debts'!$F$6&lt;&gt;"",'Your debts'!$F$8&lt;'Your debts'!$F$6),R163,0)+IF(AND('Your debts'!$F$9&lt;&gt;"",'Your debts'!$F$6&lt;&gt;"",'Your debts'!$F$9&lt;'Your debts'!$F$6),W163,0)+IF(AND('Your debts'!$F$10&lt;&gt;"",'Your debts'!$F$6&lt;&gt;"",'Your debts'!$F$10&lt;'Your debts'!$F$6),AB163,0)+IF(AND('Your debts'!$F$11&lt;&gt;"",'Your debts'!$F$6&lt;&gt;"",'Your debts'!$F$11&lt;'Your debts'!$F$6),AG163,0)+IF(AND('Your debts'!$F$12&lt;&gt;"",'Your debts'!$F$6&lt;&gt;"",'Your debts'!$F$12&lt;'Your debts'!$F$6),AL163,0)+IF(AND('Your debts'!$F$13&lt;&gt;"",'Your debts'!$F$6&lt;&gt;"",'Your debts'!$F$13&lt;'Your debts'!$F$6),AQ163,0)+IF(AND('Your debts'!$F$14&lt;&gt;"",'Your debts'!$F$6&lt;&gt;"",'Your debts'!$F$14&lt;'Your debts'!$F$6),AV163,0)+IF(AND('Your debts'!$F$15&lt;&gt;"",'Your debts'!$F$6&lt;&gt;"",'Your debts'!$F$15&lt;'Your debts'!$F$6),BA163,0)))))</f>
        <v/>
      </c>
      <c r="J163" s="33">
        <f>H163-I163</f>
        <v/>
      </c>
      <c r="K163" s="33">
        <f>IF(O162&lt;=0,0,ROUND(O162*(1+'Your debts'!$D$7/1200),2))</f>
        <v/>
      </c>
      <c r="L163" s="33">
        <f>IF(K163&lt;=0,0,MIN('Your debts'!$E$7,K163))</f>
        <v/>
      </c>
      <c r="M163" s="33">
        <f>K163-L163</f>
        <v/>
      </c>
      <c r="N163" s="33">
        <f>IF('Your debts'!$F$7="",0,MIN(M163,MAX(0,MAX(0,'Your debts'!$C$19-(G163+L163+Q163+V163+AA163+AF163+AK163+AP163+AU163+AZ163))-(IF(AND('Your debts'!$F$6&lt;&gt;"",'Your debts'!$F$7&lt;&gt;"",'Your debts'!$F$6&lt;'Your debts'!$F$7),H163,0)+IF(AND('Your debts'!$F$8&lt;&gt;"",'Your debts'!$F$7&lt;&gt;"",'Your debts'!$F$8&lt;'Your debts'!$F$7),R163,0)+IF(AND('Your debts'!$F$9&lt;&gt;"",'Your debts'!$F$7&lt;&gt;"",'Your debts'!$F$9&lt;'Your debts'!$F$7),W163,0)+IF(AND('Your debts'!$F$10&lt;&gt;"",'Your debts'!$F$7&lt;&gt;"",'Your debts'!$F$10&lt;'Your debts'!$F$7),AB163,0)+IF(AND('Your debts'!$F$11&lt;&gt;"",'Your debts'!$F$7&lt;&gt;"",'Your debts'!$F$11&lt;'Your debts'!$F$7),AG163,0)+IF(AND('Your debts'!$F$12&lt;&gt;"",'Your debts'!$F$7&lt;&gt;"",'Your debts'!$F$12&lt;'Your debts'!$F$7),AL163,0)+IF(AND('Your debts'!$F$13&lt;&gt;"",'Your debts'!$F$7&lt;&gt;"",'Your debts'!$F$13&lt;'Your debts'!$F$7),AQ163,0)+IF(AND('Your debts'!$F$14&lt;&gt;"",'Your debts'!$F$7&lt;&gt;"",'Your debts'!$F$14&lt;'Your debts'!$F$7),AV163,0)+IF(AND('Your debts'!$F$15&lt;&gt;"",'Your debts'!$F$7&lt;&gt;"",'Your debts'!$F$15&lt;'Your debts'!$F$7),BA163,0)))))</f>
        <v/>
      </c>
      <c r="O163" s="33">
        <f>M163-N163</f>
        <v/>
      </c>
      <c r="P163" s="33">
        <f>IF(T162&lt;=0,0,ROUND(T162*(1+'Your debts'!$D$8/1200),2))</f>
        <v/>
      </c>
      <c r="Q163" s="33">
        <f>IF(P163&lt;=0,0,MIN('Your debts'!$E$8,P163))</f>
        <v/>
      </c>
      <c r="R163" s="33">
        <f>P163-Q163</f>
        <v/>
      </c>
      <c r="S163" s="33">
        <f>IF('Your debts'!$F$8="",0,MIN(R163,MAX(0,MAX(0,'Your debts'!$C$19-(G163+L163+Q163+V163+AA163+AF163+AK163+AP163+AU163+AZ163))-(IF(AND('Your debts'!$F$6&lt;&gt;"",'Your debts'!$F$8&lt;&gt;"",'Your debts'!$F$6&lt;'Your debts'!$F$8),H163,0)+IF(AND('Your debts'!$F$7&lt;&gt;"",'Your debts'!$F$8&lt;&gt;"",'Your debts'!$F$7&lt;'Your debts'!$F$8),M163,0)+IF(AND('Your debts'!$F$9&lt;&gt;"",'Your debts'!$F$8&lt;&gt;"",'Your debts'!$F$9&lt;'Your debts'!$F$8),W163,0)+IF(AND('Your debts'!$F$10&lt;&gt;"",'Your debts'!$F$8&lt;&gt;"",'Your debts'!$F$10&lt;'Your debts'!$F$8),AB163,0)+IF(AND('Your debts'!$F$11&lt;&gt;"",'Your debts'!$F$8&lt;&gt;"",'Your debts'!$F$11&lt;'Your debts'!$F$8),AG163,0)+IF(AND('Your debts'!$F$12&lt;&gt;"",'Your debts'!$F$8&lt;&gt;"",'Your debts'!$F$12&lt;'Your debts'!$F$8),AL163,0)+IF(AND('Your debts'!$F$13&lt;&gt;"",'Your debts'!$F$8&lt;&gt;"",'Your debts'!$F$13&lt;'Your debts'!$F$8),AQ163,0)+IF(AND('Your debts'!$F$14&lt;&gt;"",'Your debts'!$F$8&lt;&gt;"",'Your debts'!$F$14&lt;'Your debts'!$F$8),AV163,0)+IF(AND('Your debts'!$F$15&lt;&gt;"",'Your debts'!$F$8&lt;&gt;"",'Your debts'!$F$15&lt;'Your debts'!$F$8),BA163,0)))))</f>
        <v/>
      </c>
      <c r="T163" s="33">
        <f>R163-S163</f>
        <v/>
      </c>
      <c r="U163" s="33">
        <f>IF(Y162&lt;=0,0,ROUND(Y162*(1+'Your debts'!$D$9/1200),2))</f>
        <v/>
      </c>
      <c r="V163" s="33">
        <f>IF(U163&lt;=0,0,MIN('Your debts'!$E$9,U163))</f>
        <v/>
      </c>
      <c r="W163" s="33">
        <f>U163-V163</f>
        <v/>
      </c>
      <c r="X163" s="33">
        <f>IF('Your debts'!$F$9="",0,MIN(W163,MAX(0,MAX(0,'Your debts'!$C$19-(G163+L163+Q163+V163+AA163+AF163+AK163+AP163+AU163+AZ163))-(IF(AND('Your debts'!$F$6&lt;&gt;"",'Your debts'!$F$9&lt;&gt;"",'Your debts'!$F$6&lt;'Your debts'!$F$9),H163,0)+IF(AND('Your debts'!$F$7&lt;&gt;"",'Your debts'!$F$9&lt;&gt;"",'Your debts'!$F$7&lt;'Your debts'!$F$9),M163,0)+IF(AND('Your debts'!$F$8&lt;&gt;"",'Your debts'!$F$9&lt;&gt;"",'Your debts'!$F$8&lt;'Your debts'!$F$9),R163,0)+IF(AND('Your debts'!$F$10&lt;&gt;"",'Your debts'!$F$9&lt;&gt;"",'Your debts'!$F$10&lt;'Your debts'!$F$9),AB163,0)+IF(AND('Your debts'!$F$11&lt;&gt;"",'Your debts'!$F$9&lt;&gt;"",'Your debts'!$F$11&lt;'Your debts'!$F$9),AG163,0)+IF(AND('Your debts'!$F$12&lt;&gt;"",'Your debts'!$F$9&lt;&gt;"",'Your debts'!$F$12&lt;'Your debts'!$F$9),AL163,0)+IF(AND('Your debts'!$F$13&lt;&gt;"",'Your debts'!$F$9&lt;&gt;"",'Your debts'!$F$13&lt;'Your debts'!$F$9),AQ163,0)+IF(AND('Your debts'!$F$14&lt;&gt;"",'Your debts'!$F$9&lt;&gt;"",'Your debts'!$F$14&lt;'Your debts'!$F$9),AV163,0)+IF(AND('Your debts'!$F$15&lt;&gt;"",'Your debts'!$F$9&lt;&gt;"",'Your debts'!$F$15&lt;'Your debts'!$F$9),BA163,0)))))</f>
        <v/>
      </c>
      <c r="Y163" s="33">
        <f>W163-X163</f>
        <v/>
      </c>
      <c r="Z163" s="33">
        <f>IF(AD162&lt;=0,0,ROUND(AD162*(1+'Your debts'!$D$10/1200),2))</f>
        <v/>
      </c>
      <c r="AA163" s="33">
        <f>IF(Z163&lt;=0,0,MIN('Your debts'!$E$10,Z163))</f>
        <v/>
      </c>
      <c r="AB163" s="33">
        <f>Z163-AA163</f>
        <v/>
      </c>
      <c r="AC163" s="33">
        <f>IF('Your debts'!$F$10="",0,MIN(AB163,MAX(0,MAX(0,'Your debts'!$C$19-(G163+L163+Q163+V163+AA163+AF163+AK163+AP163+AU163+AZ163))-(IF(AND('Your debts'!$F$6&lt;&gt;"",'Your debts'!$F$10&lt;&gt;"",'Your debts'!$F$6&lt;'Your debts'!$F$10),H163,0)+IF(AND('Your debts'!$F$7&lt;&gt;"",'Your debts'!$F$10&lt;&gt;"",'Your debts'!$F$7&lt;'Your debts'!$F$10),M163,0)+IF(AND('Your debts'!$F$8&lt;&gt;"",'Your debts'!$F$10&lt;&gt;"",'Your debts'!$F$8&lt;'Your debts'!$F$10),R163,0)+IF(AND('Your debts'!$F$9&lt;&gt;"",'Your debts'!$F$10&lt;&gt;"",'Your debts'!$F$9&lt;'Your debts'!$F$10),W163,0)+IF(AND('Your debts'!$F$11&lt;&gt;"",'Your debts'!$F$10&lt;&gt;"",'Your debts'!$F$11&lt;'Your debts'!$F$10),AG163,0)+IF(AND('Your debts'!$F$12&lt;&gt;"",'Your debts'!$F$10&lt;&gt;"",'Your debts'!$F$12&lt;'Your debts'!$F$10),AL163,0)+IF(AND('Your debts'!$F$13&lt;&gt;"",'Your debts'!$F$10&lt;&gt;"",'Your debts'!$F$13&lt;'Your debts'!$F$10),AQ163,0)+IF(AND('Your debts'!$F$14&lt;&gt;"",'Your debts'!$F$10&lt;&gt;"",'Your debts'!$F$14&lt;'Your debts'!$F$10),AV163,0)+IF(AND('Your debts'!$F$15&lt;&gt;"",'Your debts'!$F$10&lt;&gt;"",'Your debts'!$F$15&lt;'Your debts'!$F$10),BA163,0)))))</f>
        <v/>
      </c>
      <c r="AD163" s="33">
        <f>AB163-AC163</f>
        <v/>
      </c>
      <c r="AE163" s="33">
        <f>IF(AI162&lt;=0,0,ROUND(AI162*(1+'Your debts'!$D$11/1200),2))</f>
        <v/>
      </c>
      <c r="AF163" s="33">
        <f>IF(AE163&lt;=0,0,MIN('Your debts'!$E$11,AE163))</f>
        <v/>
      </c>
      <c r="AG163" s="33">
        <f>AE163-AF163</f>
        <v/>
      </c>
      <c r="AH163" s="33">
        <f>IF('Your debts'!$F$11="",0,MIN(AG163,MAX(0,MAX(0,'Your debts'!$C$19-(G163+L163+Q163+V163+AA163+AF163+AK163+AP163+AU163+AZ163))-(IF(AND('Your debts'!$F$6&lt;&gt;"",'Your debts'!$F$11&lt;&gt;"",'Your debts'!$F$6&lt;'Your debts'!$F$11),H163,0)+IF(AND('Your debts'!$F$7&lt;&gt;"",'Your debts'!$F$11&lt;&gt;"",'Your debts'!$F$7&lt;'Your debts'!$F$11),M163,0)+IF(AND('Your debts'!$F$8&lt;&gt;"",'Your debts'!$F$11&lt;&gt;"",'Your debts'!$F$8&lt;'Your debts'!$F$11),R163,0)+IF(AND('Your debts'!$F$9&lt;&gt;"",'Your debts'!$F$11&lt;&gt;"",'Your debts'!$F$9&lt;'Your debts'!$F$11),W163,0)+IF(AND('Your debts'!$F$10&lt;&gt;"",'Your debts'!$F$11&lt;&gt;"",'Your debts'!$F$10&lt;'Your debts'!$F$11),AB163,0)+IF(AND('Your debts'!$F$12&lt;&gt;"",'Your debts'!$F$11&lt;&gt;"",'Your debts'!$F$12&lt;'Your debts'!$F$11),AL163,0)+IF(AND('Your debts'!$F$13&lt;&gt;"",'Your debts'!$F$11&lt;&gt;"",'Your debts'!$F$13&lt;'Your debts'!$F$11),AQ163,0)+IF(AND('Your debts'!$F$14&lt;&gt;"",'Your debts'!$F$11&lt;&gt;"",'Your debts'!$F$14&lt;'Your debts'!$F$11),AV163,0)+IF(AND('Your debts'!$F$15&lt;&gt;"",'Your debts'!$F$11&lt;&gt;"",'Your debts'!$F$15&lt;'Your debts'!$F$11),BA163,0)))))</f>
        <v/>
      </c>
      <c r="AI163" s="33">
        <f>AG163-AH163</f>
        <v/>
      </c>
      <c r="AJ163" s="33">
        <f>IF(AN162&lt;=0,0,ROUND(AN162*(1+'Your debts'!$D$12/1200),2))</f>
        <v/>
      </c>
      <c r="AK163" s="33">
        <f>IF(AJ163&lt;=0,0,MIN('Your debts'!$E$12,AJ163))</f>
        <v/>
      </c>
      <c r="AL163" s="33">
        <f>AJ163-AK163</f>
        <v/>
      </c>
      <c r="AM163" s="33">
        <f>IF('Your debts'!$F$12="",0,MIN(AL163,MAX(0,MAX(0,'Your debts'!$C$19-(G163+L163+Q163+V163+AA163+AF163+AK163+AP163+AU163+AZ163))-(IF(AND('Your debts'!$F$6&lt;&gt;"",'Your debts'!$F$12&lt;&gt;"",'Your debts'!$F$6&lt;'Your debts'!$F$12),H163,0)+IF(AND('Your debts'!$F$7&lt;&gt;"",'Your debts'!$F$12&lt;&gt;"",'Your debts'!$F$7&lt;'Your debts'!$F$12),M163,0)+IF(AND('Your debts'!$F$8&lt;&gt;"",'Your debts'!$F$12&lt;&gt;"",'Your debts'!$F$8&lt;'Your debts'!$F$12),R163,0)+IF(AND('Your debts'!$F$9&lt;&gt;"",'Your debts'!$F$12&lt;&gt;"",'Your debts'!$F$9&lt;'Your debts'!$F$12),W163,0)+IF(AND('Your debts'!$F$10&lt;&gt;"",'Your debts'!$F$12&lt;&gt;"",'Your debts'!$F$10&lt;'Your debts'!$F$12),AB163,0)+IF(AND('Your debts'!$F$11&lt;&gt;"",'Your debts'!$F$12&lt;&gt;"",'Your debts'!$F$11&lt;'Your debts'!$F$12),AG163,0)+IF(AND('Your debts'!$F$13&lt;&gt;"",'Your debts'!$F$12&lt;&gt;"",'Your debts'!$F$13&lt;'Your debts'!$F$12),AQ163,0)+IF(AND('Your debts'!$F$14&lt;&gt;"",'Your debts'!$F$12&lt;&gt;"",'Your debts'!$F$14&lt;'Your debts'!$F$12),AV163,0)+IF(AND('Your debts'!$F$15&lt;&gt;"",'Your debts'!$F$12&lt;&gt;"",'Your debts'!$F$15&lt;'Your debts'!$F$12),BA163,0)))))</f>
        <v/>
      </c>
      <c r="AN163" s="33">
        <f>AL163-AM163</f>
        <v/>
      </c>
      <c r="AO163" s="33">
        <f>IF(AS162&lt;=0,0,ROUND(AS162*(1+'Your debts'!$D$13/1200),2))</f>
        <v/>
      </c>
      <c r="AP163" s="33">
        <f>IF(AO163&lt;=0,0,MIN('Your debts'!$E$13,AO163))</f>
        <v/>
      </c>
      <c r="AQ163" s="33">
        <f>AO163-AP163</f>
        <v/>
      </c>
      <c r="AR163" s="33">
        <f>IF('Your debts'!$F$13="",0,MIN(AQ163,MAX(0,MAX(0,'Your debts'!$C$19-(G163+L163+Q163+V163+AA163+AF163+AK163+AP163+AU163+AZ163))-(IF(AND('Your debts'!$F$6&lt;&gt;"",'Your debts'!$F$13&lt;&gt;"",'Your debts'!$F$6&lt;'Your debts'!$F$13),H163,0)+IF(AND('Your debts'!$F$7&lt;&gt;"",'Your debts'!$F$13&lt;&gt;"",'Your debts'!$F$7&lt;'Your debts'!$F$13),M163,0)+IF(AND('Your debts'!$F$8&lt;&gt;"",'Your debts'!$F$13&lt;&gt;"",'Your debts'!$F$8&lt;'Your debts'!$F$13),R163,0)+IF(AND('Your debts'!$F$9&lt;&gt;"",'Your debts'!$F$13&lt;&gt;"",'Your debts'!$F$9&lt;'Your debts'!$F$13),W163,0)+IF(AND('Your debts'!$F$10&lt;&gt;"",'Your debts'!$F$13&lt;&gt;"",'Your debts'!$F$10&lt;'Your debts'!$F$13),AB163,0)+IF(AND('Your debts'!$F$11&lt;&gt;"",'Your debts'!$F$13&lt;&gt;"",'Your debts'!$F$11&lt;'Your debts'!$F$13),AG163,0)+IF(AND('Your debts'!$F$12&lt;&gt;"",'Your debts'!$F$13&lt;&gt;"",'Your debts'!$F$12&lt;'Your debts'!$F$13),AL163,0)+IF(AND('Your debts'!$F$14&lt;&gt;"",'Your debts'!$F$13&lt;&gt;"",'Your debts'!$F$14&lt;'Your debts'!$F$13),AV163,0)+IF(AND('Your debts'!$F$15&lt;&gt;"",'Your debts'!$F$13&lt;&gt;"",'Your debts'!$F$15&lt;'Your debts'!$F$13),BA163,0)))))</f>
        <v/>
      </c>
      <c r="AS163" s="33">
        <f>AQ163-AR163</f>
        <v/>
      </c>
      <c r="AT163" s="33">
        <f>IF(AX162&lt;=0,0,ROUND(AX162*(1+'Your debts'!$D$14/1200),2))</f>
        <v/>
      </c>
      <c r="AU163" s="33">
        <f>IF(AT163&lt;=0,0,MIN('Your debts'!$E$14,AT163))</f>
        <v/>
      </c>
      <c r="AV163" s="33">
        <f>AT163-AU163</f>
        <v/>
      </c>
      <c r="AW163" s="33">
        <f>IF('Your debts'!$F$14="",0,MIN(AV163,MAX(0,MAX(0,'Your debts'!$C$19-(G163+L163+Q163+V163+AA163+AF163+AK163+AP163+AU163+AZ163))-(IF(AND('Your debts'!$F$6&lt;&gt;"",'Your debts'!$F$14&lt;&gt;"",'Your debts'!$F$6&lt;'Your debts'!$F$14),H163,0)+IF(AND('Your debts'!$F$7&lt;&gt;"",'Your debts'!$F$14&lt;&gt;"",'Your debts'!$F$7&lt;'Your debts'!$F$14),M163,0)+IF(AND('Your debts'!$F$8&lt;&gt;"",'Your debts'!$F$14&lt;&gt;"",'Your debts'!$F$8&lt;'Your debts'!$F$14),R163,0)+IF(AND('Your debts'!$F$9&lt;&gt;"",'Your debts'!$F$14&lt;&gt;"",'Your debts'!$F$9&lt;'Your debts'!$F$14),W163,0)+IF(AND('Your debts'!$F$10&lt;&gt;"",'Your debts'!$F$14&lt;&gt;"",'Your debts'!$F$10&lt;'Your debts'!$F$14),AB163,0)+IF(AND('Your debts'!$F$11&lt;&gt;"",'Your debts'!$F$14&lt;&gt;"",'Your debts'!$F$11&lt;'Your debts'!$F$14),AG163,0)+IF(AND('Your debts'!$F$12&lt;&gt;"",'Your debts'!$F$14&lt;&gt;"",'Your debts'!$F$12&lt;'Your debts'!$F$14),AL163,0)+IF(AND('Your debts'!$F$13&lt;&gt;"",'Your debts'!$F$14&lt;&gt;"",'Your debts'!$F$13&lt;'Your debts'!$F$14),AQ163,0)+IF(AND('Your debts'!$F$15&lt;&gt;"",'Your debts'!$F$14&lt;&gt;"",'Your debts'!$F$15&lt;'Your debts'!$F$14),BA163,0)))))</f>
        <v/>
      </c>
      <c r="AX163" s="33">
        <f>AV163-AW163</f>
        <v/>
      </c>
      <c r="AY163" s="33">
        <f>IF(BC162&lt;=0,0,ROUND(BC162*(1+'Your debts'!$D$15/1200),2))</f>
        <v/>
      </c>
      <c r="AZ163" s="33">
        <f>IF(AY163&lt;=0,0,MIN('Your debts'!$E$15,AY163))</f>
        <v/>
      </c>
      <c r="BA163" s="33">
        <f>AY163-AZ163</f>
        <v/>
      </c>
      <c r="BB163" s="33">
        <f>IF('Your debts'!$F$15="",0,MIN(BA163,MAX(0,MAX(0,'Your debts'!$C$19-(G163+L163+Q163+V163+AA163+AF163+AK163+AP163+AU163+AZ163))-(IF(AND('Your debts'!$F$6&lt;&gt;"",'Your debts'!$F$15&lt;&gt;"",'Your debts'!$F$6&lt;'Your debts'!$F$15),H163,0)+IF(AND('Your debts'!$F$7&lt;&gt;"",'Your debts'!$F$15&lt;&gt;"",'Your debts'!$F$7&lt;'Your debts'!$F$15),M163,0)+IF(AND('Your debts'!$F$8&lt;&gt;"",'Your debts'!$F$15&lt;&gt;"",'Your debts'!$F$8&lt;'Your debts'!$F$15),R163,0)+IF(AND('Your debts'!$F$9&lt;&gt;"",'Your debts'!$F$15&lt;&gt;"",'Your debts'!$F$9&lt;'Your debts'!$F$15),W163,0)+IF(AND('Your debts'!$F$10&lt;&gt;"",'Your debts'!$F$15&lt;&gt;"",'Your debts'!$F$10&lt;'Your debts'!$F$15),AB163,0)+IF(AND('Your debts'!$F$11&lt;&gt;"",'Your debts'!$F$15&lt;&gt;"",'Your debts'!$F$11&lt;'Your debts'!$F$15),AG163,0)+IF(AND('Your debts'!$F$12&lt;&gt;"",'Your debts'!$F$15&lt;&gt;"",'Your debts'!$F$12&lt;'Your debts'!$F$15),AL163,0)+IF(AND('Your debts'!$F$13&lt;&gt;"",'Your debts'!$F$15&lt;&gt;"",'Your debts'!$F$13&lt;'Your debts'!$F$15),AQ163,0)+IF(AND('Your debts'!$F$14&lt;&gt;"",'Your debts'!$F$15&lt;&gt;"",'Your debts'!$F$14&lt;'Your debts'!$F$15),AV163,0)))))</f>
        <v/>
      </c>
      <c r="BC163" s="33">
        <f>BA163-BB163</f>
        <v/>
      </c>
    </row>
    <row r="164">
      <c r="A164" s="30" t="n">
        <v>149</v>
      </c>
      <c r="B164" s="31">
        <f>EDATE($B$15,149)</f>
        <v/>
      </c>
      <c r="C164" s="32">
        <f>IF(J163&lt;=0,0,F164-J163)+IF(O163&lt;=0,0,K164-O163)+IF(T163&lt;=0,0,P164-T163)+IF(Y163&lt;=0,0,U164-Y163)+IF(AD163&lt;=0,0,Z164-AD163)+IF(AI163&lt;=0,0,AE164-AI163)+IF(AN163&lt;=0,0,AJ164-AN163)+IF(AS163&lt;=0,0,AO164-AS163)+IF(AX163&lt;=0,0,AT164-AX163)+IF(BC163&lt;=0,0,AY164-BC163)</f>
        <v/>
      </c>
      <c r="D164" s="32">
        <f>G164+I164+L164+N164+Q164+S164+V164+X164+AA164+AC164+AF164+AH164+AK164+AM164+AP164+AR164+AU164+AW164+AZ164+BB164</f>
        <v/>
      </c>
      <c r="E164" s="32">
        <f>J164+O164+T164+Y164+AD164+AI164+AN164+AS164+AX164+BC164</f>
        <v/>
      </c>
      <c r="F164" s="33">
        <f>IF(J163&lt;=0,0,ROUND(J163*(1+'Your debts'!$D$6/1200),2))</f>
        <v/>
      </c>
      <c r="G164" s="33">
        <f>IF(F164&lt;=0,0,MIN('Your debts'!$E$6,F164))</f>
        <v/>
      </c>
      <c r="H164" s="33">
        <f>F164-G164</f>
        <v/>
      </c>
      <c r="I164" s="33">
        <f>IF('Your debts'!$F$6="",0,MIN(H164,MAX(0,MAX(0,'Your debts'!$C$19-(G164+L164+Q164+V164+AA164+AF164+AK164+AP164+AU164+AZ164))-(IF(AND('Your debts'!$F$7&lt;&gt;"",'Your debts'!$F$6&lt;&gt;"",'Your debts'!$F$7&lt;'Your debts'!$F$6),M164,0)+IF(AND('Your debts'!$F$8&lt;&gt;"",'Your debts'!$F$6&lt;&gt;"",'Your debts'!$F$8&lt;'Your debts'!$F$6),R164,0)+IF(AND('Your debts'!$F$9&lt;&gt;"",'Your debts'!$F$6&lt;&gt;"",'Your debts'!$F$9&lt;'Your debts'!$F$6),W164,0)+IF(AND('Your debts'!$F$10&lt;&gt;"",'Your debts'!$F$6&lt;&gt;"",'Your debts'!$F$10&lt;'Your debts'!$F$6),AB164,0)+IF(AND('Your debts'!$F$11&lt;&gt;"",'Your debts'!$F$6&lt;&gt;"",'Your debts'!$F$11&lt;'Your debts'!$F$6),AG164,0)+IF(AND('Your debts'!$F$12&lt;&gt;"",'Your debts'!$F$6&lt;&gt;"",'Your debts'!$F$12&lt;'Your debts'!$F$6),AL164,0)+IF(AND('Your debts'!$F$13&lt;&gt;"",'Your debts'!$F$6&lt;&gt;"",'Your debts'!$F$13&lt;'Your debts'!$F$6),AQ164,0)+IF(AND('Your debts'!$F$14&lt;&gt;"",'Your debts'!$F$6&lt;&gt;"",'Your debts'!$F$14&lt;'Your debts'!$F$6),AV164,0)+IF(AND('Your debts'!$F$15&lt;&gt;"",'Your debts'!$F$6&lt;&gt;"",'Your debts'!$F$15&lt;'Your debts'!$F$6),BA164,0)))))</f>
        <v/>
      </c>
      <c r="J164" s="33">
        <f>H164-I164</f>
        <v/>
      </c>
      <c r="K164" s="33">
        <f>IF(O163&lt;=0,0,ROUND(O163*(1+'Your debts'!$D$7/1200),2))</f>
        <v/>
      </c>
      <c r="L164" s="33">
        <f>IF(K164&lt;=0,0,MIN('Your debts'!$E$7,K164))</f>
        <v/>
      </c>
      <c r="M164" s="33">
        <f>K164-L164</f>
        <v/>
      </c>
      <c r="N164" s="33">
        <f>IF('Your debts'!$F$7="",0,MIN(M164,MAX(0,MAX(0,'Your debts'!$C$19-(G164+L164+Q164+V164+AA164+AF164+AK164+AP164+AU164+AZ164))-(IF(AND('Your debts'!$F$6&lt;&gt;"",'Your debts'!$F$7&lt;&gt;"",'Your debts'!$F$6&lt;'Your debts'!$F$7),H164,0)+IF(AND('Your debts'!$F$8&lt;&gt;"",'Your debts'!$F$7&lt;&gt;"",'Your debts'!$F$8&lt;'Your debts'!$F$7),R164,0)+IF(AND('Your debts'!$F$9&lt;&gt;"",'Your debts'!$F$7&lt;&gt;"",'Your debts'!$F$9&lt;'Your debts'!$F$7),W164,0)+IF(AND('Your debts'!$F$10&lt;&gt;"",'Your debts'!$F$7&lt;&gt;"",'Your debts'!$F$10&lt;'Your debts'!$F$7),AB164,0)+IF(AND('Your debts'!$F$11&lt;&gt;"",'Your debts'!$F$7&lt;&gt;"",'Your debts'!$F$11&lt;'Your debts'!$F$7),AG164,0)+IF(AND('Your debts'!$F$12&lt;&gt;"",'Your debts'!$F$7&lt;&gt;"",'Your debts'!$F$12&lt;'Your debts'!$F$7),AL164,0)+IF(AND('Your debts'!$F$13&lt;&gt;"",'Your debts'!$F$7&lt;&gt;"",'Your debts'!$F$13&lt;'Your debts'!$F$7),AQ164,0)+IF(AND('Your debts'!$F$14&lt;&gt;"",'Your debts'!$F$7&lt;&gt;"",'Your debts'!$F$14&lt;'Your debts'!$F$7),AV164,0)+IF(AND('Your debts'!$F$15&lt;&gt;"",'Your debts'!$F$7&lt;&gt;"",'Your debts'!$F$15&lt;'Your debts'!$F$7),BA164,0)))))</f>
        <v/>
      </c>
      <c r="O164" s="33">
        <f>M164-N164</f>
        <v/>
      </c>
      <c r="P164" s="33">
        <f>IF(T163&lt;=0,0,ROUND(T163*(1+'Your debts'!$D$8/1200),2))</f>
        <v/>
      </c>
      <c r="Q164" s="33">
        <f>IF(P164&lt;=0,0,MIN('Your debts'!$E$8,P164))</f>
        <v/>
      </c>
      <c r="R164" s="33">
        <f>P164-Q164</f>
        <v/>
      </c>
      <c r="S164" s="33">
        <f>IF('Your debts'!$F$8="",0,MIN(R164,MAX(0,MAX(0,'Your debts'!$C$19-(G164+L164+Q164+V164+AA164+AF164+AK164+AP164+AU164+AZ164))-(IF(AND('Your debts'!$F$6&lt;&gt;"",'Your debts'!$F$8&lt;&gt;"",'Your debts'!$F$6&lt;'Your debts'!$F$8),H164,0)+IF(AND('Your debts'!$F$7&lt;&gt;"",'Your debts'!$F$8&lt;&gt;"",'Your debts'!$F$7&lt;'Your debts'!$F$8),M164,0)+IF(AND('Your debts'!$F$9&lt;&gt;"",'Your debts'!$F$8&lt;&gt;"",'Your debts'!$F$9&lt;'Your debts'!$F$8),W164,0)+IF(AND('Your debts'!$F$10&lt;&gt;"",'Your debts'!$F$8&lt;&gt;"",'Your debts'!$F$10&lt;'Your debts'!$F$8),AB164,0)+IF(AND('Your debts'!$F$11&lt;&gt;"",'Your debts'!$F$8&lt;&gt;"",'Your debts'!$F$11&lt;'Your debts'!$F$8),AG164,0)+IF(AND('Your debts'!$F$12&lt;&gt;"",'Your debts'!$F$8&lt;&gt;"",'Your debts'!$F$12&lt;'Your debts'!$F$8),AL164,0)+IF(AND('Your debts'!$F$13&lt;&gt;"",'Your debts'!$F$8&lt;&gt;"",'Your debts'!$F$13&lt;'Your debts'!$F$8),AQ164,0)+IF(AND('Your debts'!$F$14&lt;&gt;"",'Your debts'!$F$8&lt;&gt;"",'Your debts'!$F$14&lt;'Your debts'!$F$8),AV164,0)+IF(AND('Your debts'!$F$15&lt;&gt;"",'Your debts'!$F$8&lt;&gt;"",'Your debts'!$F$15&lt;'Your debts'!$F$8),BA164,0)))))</f>
        <v/>
      </c>
      <c r="T164" s="33">
        <f>R164-S164</f>
        <v/>
      </c>
      <c r="U164" s="33">
        <f>IF(Y163&lt;=0,0,ROUND(Y163*(1+'Your debts'!$D$9/1200),2))</f>
        <v/>
      </c>
      <c r="V164" s="33">
        <f>IF(U164&lt;=0,0,MIN('Your debts'!$E$9,U164))</f>
        <v/>
      </c>
      <c r="W164" s="33">
        <f>U164-V164</f>
        <v/>
      </c>
      <c r="X164" s="33">
        <f>IF('Your debts'!$F$9="",0,MIN(W164,MAX(0,MAX(0,'Your debts'!$C$19-(G164+L164+Q164+V164+AA164+AF164+AK164+AP164+AU164+AZ164))-(IF(AND('Your debts'!$F$6&lt;&gt;"",'Your debts'!$F$9&lt;&gt;"",'Your debts'!$F$6&lt;'Your debts'!$F$9),H164,0)+IF(AND('Your debts'!$F$7&lt;&gt;"",'Your debts'!$F$9&lt;&gt;"",'Your debts'!$F$7&lt;'Your debts'!$F$9),M164,0)+IF(AND('Your debts'!$F$8&lt;&gt;"",'Your debts'!$F$9&lt;&gt;"",'Your debts'!$F$8&lt;'Your debts'!$F$9),R164,0)+IF(AND('Your debts'!$F$10&lt;&gt;"",'Your debts'!$F$9&lt;&gt;"",'Your debts'!$F$10&lt;'Your debts'!$F$9),AB164,0)+IF(AND('Your debts'!$F$11&lt;&gt;"",'Your debts'!$F$9&lt;&gt;"",'Your debts'!$F$11&lt;'Your debts'!$F$9),AG164,0)+IF(AND('Your debts'!$F$12&lt;&gt;"",'Your debts'!$F$9&lt;&gt;"",'Your debts'!$F$12&lt;'Your debts'!$F$9),AL164,0)+IF(AND('Your debts'!$F$13&lt;&gt;"",'Your debts'!$F$9&lt;&gt;"",'Your debts'!$F$13&lt;'Your debts'!$F$9),AQ164,0)+IF(AND('Your debts'!$F$14&lt;&gt;"",'Your debts'!$F$9&lt;&gt;"",'Your debts'!$F$14&lt;'Your debts'!$F$9),AV164,0)+IF(AND('Your debts'!$F$15&lt;&gt;"",'Your debts'!$F$9&lt;&gt;"",'Your debts'!$F$15&lt;'Your debts'!$F$9),BA164,0)))))</f>
        <v/>
      </c>
      <c r="Y164" s="33">
        <f>W164-X164</f>
        <v/>
      </c>
      <c r="Z164" s="33">
        <f>IF(AD163&lt;=0,0,ROUND(AD163*(1+'Your debts'!$D$10/1200),2))</f>
        <v/>
      </c>
      <c r="AA164" s="33">
        <f>IF(Z164&lt;=0,0,MIN('Your debts'!$E$10,Z164))</f>
        <v/>
      </c>
      <c r="AB164" s="33">
        <f>Z164-AA164</f>
        <v/>
      </c>
      <c r="AC164" s="33">
        <f>IF('Your debts'!$F$10="",0,MIN(AB164,MAX(0,MAX(0,'Your debts'!$C$19-(G164+L164+Q164+V164+AA164+AF164+AK164+AP164+AU164+AZ164))-(IF(AND('Your debts'!$F$6&lt;&gt;"",'Your debts'!$F$10&lt;&gt;"",'Your debts'!$F$6&lt;'Your debts'!$F$10),H164,0)+IF(AND('Your debts'!$F$7&lt;&gt;"",'Your debts'!$F$10&lt;&gt;"",'Your debts'!$F$7&lt;'Your debts'!$F$10),M164,0)+IF(AND('Your debts'!$F$8&lt;&gt;"",'Your debts'!$F$10&lt;&gt;"",'Your debts'!$F$8&lt;'Your debts'!$F$10),R164,0)+IF(AND('Your debts'!$F$9&lt;&gt;"",'Your debts'!$F$10&lt;&gt;"",'Your debts'!$F$9&lt;'Your debts'!$F$10),W164,0)+IF(AND('Your debts'!$F$11&lt;&gt;"",'Your debts'!$F$10&lt;&gt;"",'Your debts'!$F$11&lt;'Your debts'!$F$10),AG164,0)+IF(AND('Your debts'!$F$12&lt;&gt;"",'Your debts'!$F$10&lt;&gt;"",'Your debts'!$F$12&lt;'Your debts'!$F$10),AL164,0)+IF(AND('Your debts'!$F$13&lt;&gt;"",'Your debts'!$F$10&lt;&gt;"",'Your debts'!$F$13&lt;'Your debts'!$F$10),AQ164,0)+IF(AND('Your debts'!$F$14&lt;&gt;"",'Your debts'!$F$10&lt;&gt;"",'Your debts'!$F$14&lt;'Your debts'!$F$10),AV164,0)+IF(AND('Your debts'!$F$15&lt;&gt;"",'Your debts'!$F$10&lt;&gt;"",'Your debts'!$F$15&lt;'Your debts'!$F$10),BA164,0)))))</f>
        <v/>
      </c>
      <c r="AD164" s="33">
        <f>AB164-AC164</f>
        <v/>
      </c>
      <c r="AE164" s="33">
        <f>IF(AI163&lt;=0,0,ROUND(AI163*(1+'Your debts'!$D$11/1200),2))</f>
        <v/>
      </c>
      <c r="AF164" s="33">
        <f>IF(AE164&lt;=0,0,MIN('Your debts'!$E$11,AE164))</f>
        <v/>
      </c>
      <c r="AG164" s="33">
        <f>AE164-AF164</f>
        <v/>
      </c>
      <c r="AH164" s="33">
        <f>IF('Your debts'!$F$11="",0,MIN(AG164,MAX(0,MAX(0,'Your debts'!$C$19-(G164+L164+Q164+V164+AA164+AF164+AK164+AP164+AU164+AZ164))-(IF(AND('Your debts'!$F$6&lt;&gt;"",'Your debts'!$F$11&lt;&gt;"",'Your debts'!$F$6&lt;'Your debts'!$F$11),H164,0)+IF(AND('Your debts'!$F$7&lt;&gt;"",'Your debts'!$F$11&lt;&gt;"",'Your debts'!$F$7&lt;'Your debts'!$F$11),M164,0)+IF(AND('Your debts'!$F$8&lt;&gt;"",'Your debts'!$F$11&lt;&gt;"",'Your debts'!$F$8&lt;'Your debts'!$F$11),R164,0)+IF(AND('Your debts'!$F$9&lt;&gt;"",'Your debts'!$F$11&lt;&gt;"",'Your debts'!$F$9&lt;'Your debts'!$F$11),W164,0)+IF(AND('Your debts'!$F$10&lt;&gt;"",'Your debts'!$F$11&lt;&gt;"",'Your debts'!$F$10&lt;'Your debts'!$F$11),AB164,0)+IF(AND('Your debts'!$F$12&lt;&gt;"",'Your debts'!$F$11&lt;&gt;"",'Your debts'!$F$12&lt;'Your debts'!$F$11),AL164,0)+IF(AND('Your debts'!$F$13&lt;&gt;"",'Your debts'!$F$11&lt;&gt;"",'Your debts'!$F$13&lt;'Your debts'!$F$11),AQ164,0)+IF(AND('Your debts'!$F$14&lt;&gt;"",'Your debts'!$F$11&lt;&gt;"",'Your debts'!$F$14&lt;'Your debts'!$F$11),AV164,0)+IF(AND('Your debts'!$F$15&lt;&gt;"",'Your debts'!$F$11&lt;&gt;"",'Your debts'!$F$15&lt;'Your debts'!$F$11),BA164,0)))))</f>
        <v/>
      </c>
      <c r="AI164" s="33">
        <f>AG164-AH164</f>
        <v/>
      </c>
      <c r="AJ164" s="33">
        <f>IF(AN163&lt;=0,0,ROUND(AN163*(1+'Your debts'!$D$12/1200),2))</f>
        <v/>
      </c>
      <c r="AK164" s="33">
        <f>IF(AJ164&lt;=0,0,MIN('Your debts'!$E$12,AJ164))</f>
        <v/>
      </c>
      <c r="AL164" s="33">
        <f>AJ164-AK164</f>
        <v/>
      </c>
      <c r="AM164" s="33">
        <f>IF('Your debts'!$F$12="",0,MIN(AL164,MAX(0,MAX(0,'Your debts'!$C$19-(G164+L164+Q164+V164+AA164+AF164+AK164+AP164+AU164+AZ164))-(IF(AND('Your debts'!$F$6&lt;&gt;"",'Your debts'!$F$12&lt;&gt;"",'Your debts'!$F$6&lt;'Your debts'!$F$12),H164,0)+IF(AND('Your debts'!$F$7&lt;&gt;"",'Your debts'!$F$12&lt;&gt;"",'Your debts'!$F$7&lt;'Your debts'!$F$12),M164,0)+IF(AND('Your debts'!$F$8&lt;&gt;"",'Your debts'!$F$12&lt;&gt;"",'Your debts'!$F$8&lt;'Your debts'!$F$12),R164,0)+IF(AND('Your debts'!$F$9&lt;&gt;"",'Your debts'!$F$12&lt;&gt;"",'Your debts'!$F$9&lt;'Your debts'!$F$12),W164,0)+IF(AND('Your debts'!$F$10&lt;&gt;"",'Your debts'!$F$12&lt;&gt;"",'Your debts'!$F$10&lt;'Your debts'!$F$12),AB164,0)+IF(AND('Your debts'!$F$11&lt;&gt;"",'Your debts'!$F$12&lt;&gt;"",'Your debts'!$F$11&lt;'Your debts'!$F$12),AG164,0)+IF(AND('Your debts'!$F$13&lt;&gt;"",'Your debts'!$F$12&lt;&gt;"",'Your debts'!$F$13&lt;'Your debts'!$F$12),AQ164,0)+IF(AND('Your debts'!$F$14&lt;&gt;"",'Your debts'!$F$12&lt;&gt;"",'Your debts'!$F$14&lt;'Your debts'!$F$12),AV164,0)+IF(AND('Your debts'!$F$15&lt;&gt;"",'Your debts'!$F$12&lt;&gt;"",'Your debts'!$F$15&lt;'Your debts'!$F$12),BA164,0)))))</f>
        <v/>
      </c>
      <c r="AN164" s="33">
        <f>AL164-AM164</f>
        <v/>
      </c>
      <c r="AO164" s="33">
        <f>IF(AS163&lt;=0,0,ROUND(AS163*(1+'Your debts'!$D$13/1200),2))</f>
        <v/>
      </c>
      <c r="AP164" s="33">
        <f>IF(AO164&lt;=0,0,MIN('Your debts'!$E$13,AO164))</f>
        <v/>
      </c>
      <c r="AQ164" s="33">
        <f>AO164-AP164</f>
        <v/>
      </c>
      <c r="AR164" s="33">
        <f>IF('Your debts'!$F$13="",0,MIN(AQ164,MAX(0,MAX(0,'Your debts'!$C$19-(G164+L164+Q164+V164+AA164+AF164+AK164+AP164+AU164+AZ164))-(IF(AND('Your debts'!$F$6&lt;&gt;"",'Your debts'!$F$13&lt;&gt;"",'Your debts'!$F$6&lt;'Your debts'!$F$13),H164,0)+IF(AND('Your debts'!$F$7&lt;&gt;"",'Your debts'!$F$13&lt;&gt;"",'Your debts'!$F$7&lt;'Your debts'!$F$13),M164,0)+IF(AND('Your debts'!$F$8&lt;&gt;"",'Your debts'!$F$13&lt;&gt;"",'Your debts'!$F$8&lt;'Your debts'!$F$13),R164,0)+IF(AND('Your debts'!$F$9&lt;&gt;"",'Your debts'!$F$13&lt;&gt;"",'Your debts'!$F$9&lt;'Your debts'!$F$13),W164,0)+IF(AND('Your debts'!$F$10&lt;&gt;"",'Your debts'!$F$13&lt;&gt;"",'Your debts'!$F$10&lt;'Your debts'!$F$13),AB164,0)+IF(AND('Your debts'!$F$11&lt;&gt;"",'Your debts'!$F$13&lt;&gt;"",'Your debts'!$F$11&lt;'Your debts'!$F$13),AG164,0)+IF(AND('Your debts'!$F$12&lt;&gt;"",'Your debts'!$F$13&lt;&gt;"",'Your debts'!$F$12&lt;'Your debts'!$F$13),AL164,0)+IF(AND('Your debts'!$F$14&lt;&gt;"",'Your debts'!$F$13&lt;&gt;"",'Your debts'!$F$14&lt;'Your debts'!$F$13),AV164,0)+IF(AND('Your debts'!$F$15&lt;&gt;"",'Your debts'!$F$13&lt;&gt;"",'Your debts'!$F$15&lt;'Your debts'!$F$13),BA164,0)))))</f>
        <v/>
      </c>
      <c r="AS164" s="33">
        <f>AQ164-AR164</f>
        <v/>
      </c>
      <c r="AT164" s="33">
        <f>IF(AX163&lt;=0,0,ROUND(AX163*(1+'Your debts'!$D$14/1200),2))</f>
        <v/>
      </c>
      <c r="AU164" s="33">
        <f>IF(AT164&lt;=0,0,MIN('Your debts'!$E$14,AT164))</f>
        <v/>
      </c>
      <c r="AV164" s="33">
        <f>AT164-AU164</f>
        <v/>
      </c>
      <c r="AW164" s="33">
        <f>IF('Your debts'!$F$14="",0,MIN(AV164,MAX(0,MAX(0,'Your debts'!$C$19-(G164+L164+Q164+V164+AA164+AF164+AK164+AP164+AU164+AZ164))-(IF(AND('Your debts'!$F$6&lt;&gt;"",'Your debts'!$F$14&lt;&gt;"",'Your debts'!$F$6&lt;'Your debts'!$F$14),H164,0)+IF(AND('Your debts'!$F$7&lt;&gt;"",'Your debts'!$F$14&lt;&gt;"",'Your debts'!$F$7&lt;'Your debts'!$F$14),M164,0)+IF(AND('Your debts'!$F$8&lt;&gt;"",'Your debts'!$F$14&lt;&gt;"",'Your debts'!$F$8&lt;'Your debts'!$F$14),R164,0)+IF(AND('Your debts'!$F$9&lt;&gt;"",'Your debts'!$F$14&lt;&gt;"",'Your debts'!$F$9&lt;'Your debts'!$F$14),W164,0)+IF(AND('Your debts'!$F$10&lt;&gt;"",'Your debts'!$F$14&lt;&gt;"",'Your debts'!$F$10&lt;'Your debts'!$F$14),AB164,0)+IF(AND('Your debts'!$F$11&lt;&gt;"",'Your debts'!$F$14&lt;&gt;"",'Your debts'!$F$11&lt;'Your debts'!$F$14),AG164,0)+IF(AND('Your debts'!$F$12&lt;&gt;"",'Your debts'!$F$14&lt;&gt;"",'Your debts'!$F$12&lt;'Your debts'!$F$14),AL164,0)+IF(AND('Your debts'!$F$13&lt;&gt;"",'Your debts'!$F$14&lt;&gt;"",'Your debts'!$F$13&lt;'Your debts'!$F$14),AQ164,0)+IF(AND('Your debts'!$F$15&lt;&gt;"",'Your debts'!$F$14&lt;&gt;"",'Your debts'!$F$15&lt;'Your debts'!$F$14),BA164,0)))))</f>
        <v/>
      </c>
      <c r="AX164" s="33">
        <f>AV164-AW164</f>
        <v/>
      </c>
      <c r="AY164" s="33">
        <f>IF(BC163&lt;=0,0,ROUND(BC163*(1+'Your debts'!$D$15/1200),2))</f>
        <v/>
      </c>
      <c r="AZ164" s="33">
        <f>IF(AY164&lt;=0,0,MIN('Your debts'!$E$15,AY164))</f>
        <v/>
      </c>
      <c r="BA164" s="33">
        <f>AY164-AZ164</f>
        <v/>
      </c>
      <c r="BB164" s="33">
        <f>IF('Your debts'!$F$15="",0,MIN(BA164,MAX(0,MAX(0,'Your debts'!$C$19-(G164+L164+Q164+V164+AA164+AF164+AK164+AP164+AU164+AZ164))-(IF(AND('Your debts'!$F$6&lt;&gt;"",'Your debts'!$F$15&lt;&gt;"",'Your debts'!$F$6&lt;'Your debts'!$F$15),H164,0)+IF(AND('Your debts'!$F$7&lt;&gt;"",'Your debts'!$F$15&lt;&gt;"",'Your debts'!$F$7&lt;'Your debts'!$F$15),M164,0)+IF(AND('Your debts'!$F$8&lt;&gt;"",'Your debts'!$F$15&lt;&gt;"",'Your debts'!$F$8&lt;'Your debts'!$F$15),R164,0)+IF(AND('Your debts'!$F$9&lt;&gt;"",'Your debts'!$F$15&lt;&gt;"",'Your debts'!$F$9&lt;'Your debts'!$F$15),W164,0)+IF(AND('Your debts'!$F$10&lt;&gt;"",'Your debts'!$F$15&lt;&gt;"",'Your debts'!$F$10&lt;'Your debts'!$F$15),AB164,0)+IF(AND('Your debts'!$F$11&lt;&gt;"",'Your debts'!$F$15&lt;&gt;"",'Your debts'!$F$11&lt;'Your debts'!$F$15),AG164,0)+IF(AND('Your debts'!$F$12&lt;&gt;"",'Your debts'!$F$15&lt;&gt;"",'Your debts'!$F$12&lt;'Your debts'!$F$15),AL164,0)+IF(AND('Your debts'!$F$13&lt;&gt;"",'Your debts'!$F$15&lt;&gt;"",'Your debts'!$F$13&lt;'Your debts'!$F$15),AQ164,0)+IF(AND('Your debts'!$F$14&lt;&gt;"",'Your debts'!$F$15&lt;&gt;"",'Your debts'!$F$14&lt;'Your debts'!$F$15),AV164,0)))))</f>
        <v/>
      </c>
      <c r="BC164" s="33">
        <f>BA164-BB164</f>
        <v/>
      </c>
    </row>
    <row r="165">
      <c r="A165" s="30" t="n">
        <v>150</v>
      </c>
      <c r="B165" s="31">
        <f>EDATE($B$15,150)</f>
        <v/>
      </c>
      <c r="C165" s="32">
        <f>IF(J164&lt;=0,0,F165-J164)+IF(O164&lt;=0,0,K165-O164)+IF(T164&lt;=0,0,P165-T164)+IF(Y164&lt;=0,0,U165-Y164)+IF(AD164&lt;=0,0,Z165-AD164)+IF(AI164&lt;=0,0,AE165-AI164)+IF(AN164&lt;=0,0,AJ165-AN164)+IF(AS164&lt;=0,0,AO165-AS164)+IF(AX164&lt;=0,0,AT165-AX164)+IF(BC164&lt;=0,0,AY165-BC164)</f>
        <v/>
      </c>
      <c r="D165" s="32">
        <f>G165+I165+L165+N165+Q165+S165+V165+X165+AA165+AC165+AF165+AH165+AK165+AM165+AP165+AR165+AU165+AW165+AZ165+BB165</f>
        <v/>
      </c>
      <c r="E165" s="32">
        <f>J165+O165+T165+Y165+AD165+AI165+AN165+AS165+AX165+BC165</f>
        <v/>
      </c>
      <c r="F165" s="33">
        <f>IF(J164&lt;=0,0,ROUND(J164*(1+'Your debts'!$D$6/1200),2))</f>
        <v/>
      </c>
      <c r="G165" s="33">
        <f>IF(F165&lt;=0,0,MIN('Your debts'!$E$6,F165))</f>
        <v/>
      </c>
      <c r="H165" s="33">
        <f>F165-G165</f>
        <v/>
      </c>
      <c r="I165" s="33">
        <f>IF('Your debts'!$F$6="",0,MIN(H165,MAX(0,MAX(0,'Your debts'!$C$19-(G165+L165+Q165+V165+AA165+AF165+AK165+AP165+AU165+AZ165))-(IF(AND('Your debts'!$F$7&lt;&gt;"",'Your debts'!$F$6&lt;&gt;"",'Your debts'!$F$7&lt;'Your debts'!$F$6),M165,0)+IF(AND('Your debts'!$F$8&lt;&gt;"",'Your debts'!$F$6&lt;&gt;"",'Your debts'!$F$8&lt;'Your debts'!$F$6),R165,0)+IF(AND('Your debts'!$F$9&lt;&gt;"",'Your debts'!$F$6&lt;&gt;"",'Your debts'!$F$9&lt;'Your debts'!$F$6),W165,0)+IF(AND('Your debts'!$F$10&lt;&gt;"",'Your debts'!$F$6&lt;&gt;"",'Your debts'!$F$10&lt;'Your debts'!$F$6),AB165,0)+IF(AND('Your debts'!$F$11&lt;&gt;"",'Your debts'!$F$6&lt;&gt;"",'Your debts'!$F$11&lt;'Your debts'!$F$6),AG165,0)+IF(AND('Your debts'!$F$12&lt;&gt;"",'Your debts'!$F$6&lt;&gt;"",'Your debts'!$F$12&lt;'Your debts'!$F$6),AL165,0)+IF(AND('Your debts'!$F$13&lt;&gt;"",'Your debts'!$F$6&lt;&gt;"",'Your debts'!$F$13&lt;'Your debts'!$F$6),AQ165,0)+IF(AND('Your debts'!$F$14&lt;&gt;"",'Your debts'!$F$6&lt;&gt;"",'Your debts'!$F$14&lt;'Your debts'!$F$6),AV165,0)+IF(AND('Your debts'!$F$15&lt;&gt;"",'Your debts'!$F$6&lt;&gt;"",'Your debts'!$F$15&lt;'Your debts'!$F$6),BA165,0)))))</f>
        <v/>
      </c>
      <c r="J165" s="33">
        <f>H165-I165</f>
        <v/>
      </c>
      <c r="K165" s="33">
        <f>IF(O164&lt;=0,0,ROUND(O164*(1+'Your debts'!$D$7/1200),2))</f>
        <v/>
      </c>
      <c r="L165" s="33">
        <f>IF(K165&lt;=0,0,MIN('Your debts'!$E$7,K165))</f>
        <v/>
      </c>
      <c r="M165" s="33">
        <f>K165-L165</f>
        <v/>
      </c>
      <c r="N165" s="33">
        <f>IF('Your debts'!$F$7="",0,MIN(M165,MAX(0,MAX(0,'Your debts'!$C$19-(G165+L165+Q165+V165+AA165+AF165+AK165+AP165+AU165+AZ165))-(IF(AND('Your debts'!$F$6&lt;&gt;"",'Your debts'!$F$7&lt;&gt;"",'Your debts'!$F$6&lt;'Your debts'!$F$7),H165,0)+IF(AND('Your debts'!$F$8&lt;&gt;"",'Your debts'!$F$7&lt;&gt;"",'Your debts'!$F$8&lt;'Your debts'!$F$7),R165,0)+IF(AND('Your debts'!$F$9&lt;&gt;"",'Your debts'!$F$7&lt;&gt;"",'Your debts'!$F$9&lt;'Your debts'!$F$7),W165,0)+IF(AND('Your debts'!$F$10&lt;&gt;"",'Your debts'!$F$7&lt;&gt;"",'Your debts'!$F$10&lt;'Your debts'!$F$7),AB165,0)+IF(AND('Your debts'!$F$11&lt;&gt;"",'Your debts'!$F$7&lt;&gt;"",'Your debts'!$F$11&lt;'Your debts'!$F$7),AG165,0)+IF(AND('Your debts'!$F$12&lt;&gt;"",'Your debts'!$F$7&lt;&gt;"",'Your debts'!$F$12&lt;'Your debts'!$F$7),AL165,0)+IF(AND('Your debts'!$F$13&lt;&gt;"",'Your debts'!$F$7&lt;&gt;"",'Your debts'!$F$13&lt;'Your debts'!$F$7),AQ165,0)+IF(AND('Your debts'!$F$14&lt;&gt;"",'Your debts'!$F$7&lt;&gt;"",'Your debts'!$F$14&lt;'Your debts'!$F$7),AV165,0)+IF(AND('Your debts'!$F$15&lt;&gt;"",'Your debts'!$F$7&lt;&gt;"",'Your debts'!$F$15&lt;'Your debts'!$F$7),BA165,0)))))</f>
        <v/>
      </c>
      <c r="O165" s="33">
        <f>M165-N165</f>
        <v/>
      </c>
      <c r="P165" s="33">
        <f>IF(T164&lt;=0,0,ROUND(T164*(1+'Your debts'!$D$8/1200),2))</f>
        <v/>
      </c>
      <c r="Q165" s="33">
        <f>IF(P165&lt;=0,0,MIN('Your debts'!$E$8,P165))</f>
        <v/>
      </c>
      <c r="R165" s="33">
        <f>P165-Q165</f>
        <v/>
      </c>
      <c r="S165" s="33">
        <f>IF('Your debts'!$F$8="",0,MIN(R165,MAX(0,MAX(0,'Your debts'!$C$19-(G165+L165+Q165+V165+AA165+AF165+AK165+AP165+AU165+AZ165))-(IF(AND('Your debts'!$F$6&lt;&gt;"",'Your debts'!$F$8&lt;&gt;"",'Your debts'!$F$6&lt;'Your debts'!$F$8),H165,0)+IF(AND('Your debts'!$F$7&lt;&gt;"",'Your debts'!$F$8&lt;&gt;"",'Your debts'!$F$7&lt;'Your debts'!$F$8),M165,0)+IF(AND('Your debts'!$F$9&lt;&gt;"",'Your debts'!$F$8&lt;&gt;"",'Your debts'!$F$9&lt;'Your debts'!$F$8),W165,0)+IF(AND('Your debts'!$F$10&lt;&gt;"",'Your debts'!$F$8&lt;&gt;"",'Your debts'!$F$10&lt;'Your debts'!$F$8),AB165,0)+IF(AND('Your debts'!$F$11&lt;&gt;"",'Your debts'!$F$8&lt;&gt;"",'Your debts'!$F$11&lt;'Your debts'!$F$8),AG165,0)+IF(AND('Your debts'!$F$12&lt;&gt;"",'Your debts'!$F$8&lt;&gt;"",'Your debts'!$F$12&lt;'Your debts'!$F$8),AL165,0)+IF(AND('Your debts'!$F$13&lt;&gt;"",'Your debts'!$F$8&lt;&gt;"",'Your debts'!$F$13&lt;'Your debts'!$F$8),AQ165,0)+IF(AND('Your debts'!$F$14&lt;&gt;"",'Your debts'!$F$8&lt;&gt;"",'Your debts'!$F$14&lt;'Your debts'!$F$8),AV165,0)+IF(AND('Your debts'!$F$15&lt;&gt;"",'Your debts'!$F$8&lt;&gt;"",'Your debts'!$F$15&lt;'Your debts'!$F$8),BA165,0)))))</f>
        <v/>
      </c>
      <c r="T165" s="33">
        <f>R165-S165</f>
        <v/>
      </c>
      <c r="U165" s="33">
        <f>IF(Y164&lt;=0,0,ROUND(Y164*(1+'Your debts'!$D$9/1200),2))</f>
        <v/>
      </c>
      <c r="V165" s="33">
        <f>IF(U165&lt;=0,0,MIN('Your debts'!$E$9,U165))</f>
        <v/>
      </c>
      <c r="W165" s="33">
        <f>U165-V165</f>
        <v/>
      </c>
      <c r="X165" s="33">
        <f>IF('Your debts'!$F$9="",0,MIN(W165,MAX(0,MAX(0,'Your debts'!$C$19-(G165+L165+Q165+V165+AA165+AF165+AK165+AP165+AU165+AZ165))-(IF(AND('Your debts'!$F$6&lt;&gt;"",'Your debts'!$F$9&lt;&gt;"",'Your debts'!$F$6&lt;'Your debts'!$F$9),H165,0)+IF(AND('Your debts'!$F$7&lt;&gt;"",'Your debts'!$F$9&lt;&gt;"",'Your debts'!$F$7&lt;'Your debts'!$F$9),M165,0)+IF(AND('Your debts'!$F$8&lt;&gt;"",'Your debts'!$F$9&lt;&gt;"",'Your debts'!$F$8&lt;'Your debts'!$F$9),R165,0)+IF(AND('Your debts'!$F$10&lt;&gt;"",'Your debts'!$F$9&lt;&gt;"",'Your debts'!$F$10&lt;'Your debts'!$F$9),AB165,0)+IF(AND('Your debts'!$F$11&lt;&gt;"",'Your debts'!$F$9&lt;&gt;"",'Your debts'!$F$11&lt;'Your debts'!$F$9),AG165,0)+IF(AND('Your debts'!$F$12&lt;&gt;"",'Your debts'!$F$9&lt;&gt;"",'Your debts'!$F$12&lt;'Your debts'!$F$9),AL165,0)+IF(AND('Your debts'!$F$13&lt;&gt;"",'Your debts'!$F$9&lt;&gt;"",'Your debts'!$F$13&lt;'Your debts'!$F$9),AQ165,0)+IF(AND('Your debts'!$F$14&lt;&gt;"",'Your debts'!$F$9&lt;&gt;"",'Your debts'!$F$14&lt;'Your debts'!$F$9),AV165,0)+IF(AND('Your debts'!$F$15&lt;&gt;"",'Your debts'!$F$9&lt;&gt;"",'Your debts'!$F$15&lt;'Your debts'!$F$9),BA165,0)))))</f>
        <v/>
      </c>
      <c r="Y165" s="33">
        <f>W165-X165</f>
        <v/>
      </c>
      <c r="Z165" s="33">
        <f>IF(AD164&lt;=0,0,ROUND(AD164*(1+'Your debts'!$D$10/1200),2))</f>
        <v/>
      </c>
      <c r="AA165" s="33">
        <f>IF(Z165&lt;=0,0,MIN('Your debts'!$E$10,Z165))</f>
        <v/>
      </c>
      <c r="AB165" s="33">
        <f>Z165-AA165</f>
        <v/>
      </c>
      <c r="AC165" s="33">
        <f>IF('Your debts'!$F$10="",0,MIN(AB165,MAX(0,MAX(0,'Your debts'!$C$19-(G165+L165+Q165+V165+AA165+AF165+AK165+AP165+AU165+AZ165))-(IF(AND('Your debts'!$F$6&lt;&gt;"",'Your debts'!$F$10&lt;&gt;"",'Your debts'!$F$6&lt;'Your debts'!$F$10),H165,0)+IF(AND('Your debts'!$F$7&lt;&gt;"",'Your debts'!$F$10&lt;&gt;"",'Your debts'!$F$7&lt;'Your debts'!$F$10),M165,0)+IF(AND('Your debts'!$F$8&lt;&gt;"",'Your debts'!$F$10&lt;&gt;"",'Your debts'!$F$8&lt;'Your debts'!$F$10),R165,0)+IF(AND('Your debts'!$F$9&lt;&gt;"",'Your debts'!$F$10&lt;&gt;"",'Your debts'!$F$9&lt;'Your debts'!$F$10),W165,0)+IF(AND('Your debts'!$F$11&lt;&gt;"",'Your debts'!$F$10&lt;&gt;"",'Your debts'!$F$11&lt;'Your debts'!$F$10),AG165,0)+IF(AND('Your debts'!$F$12&lt;&gt;"",'Your debts'!$F$10&lt;&gt;"",'Your debts'!$F$12&lt;'Your debts'!$F$10),AL165,0)+IF(AND('Your debts'!$F$13&lt;&gt;"",'Your debts'!$F$10&lt;&gt;"",'Your debts'!$F$13&lt;'Your debts'!$F$10),AQ165,0)+IF(AND('Your debts'!$F$14&lt;&gt;"",'Your debts'!$F$10&lt;&gt;"",'Your debts'!$F$14&lt;'Your debts'!$F$10),AV165,0)+IF(AND('Your debts'!$F$15&lt;&gt;"",'Your debts'!$F$10&lt;&gt;"",'Your debts'!$F$15&lt;'Your debts'!$F$10),BA165,0)))))</f>
        <v/>
      </c>
      <c r="AD165" s="33">
        <f>AB165-AC165</f>
        <v/>
      </c>
      <c r="AE165" s="33">
        <f>IF(AI164&lt;=0,0,ROUND(AI164*(1+'Your debts'!$D$11/1200),2))</f>
        <v/>
      </c>
      <c r="AF165" s="33">
        <f>IF(AE165&lt;=0,0,MIN('Your debts'!$E$11,AE165))</f>
        <v/>
      </c>
      <c r="AG165" s="33">
        <f>AE165-AF165</f>
        <v/>
      </c>
      <c r="AH165" s="33">
        <f>IF('Your debts'!$F$11="",0,MIN(AG165,MAX(0,MAX(0,'Your debts'!$C$19-(G165+L165+Q165+V165+AA165+AF165+AK165+AP165+AU165+AZ165))-(IF(AND('Your debts'!$F$6&lt;&gt;"",'Your debts'!$F$11&lt;&gt;"",'Your debts'!$F$6&lt;'Your debts'!$F$11),H165,0)+IF(AND('Your debts'!$F$7&lt;&gt;"",'Your debts'!$F$11&lt;&gt;"",'Your debts'!$F$7&lt;'Your debts'!$F$11),M165,0)+IF(AND('Your debts'!$F$8&lt;&gt;"",'Your debts'!$F$11&lt;&gt;"",'Your debts'!$F$8&lt;'Your debts'!$F$11),R165,0)+IF(AND('Your debts'!$F$9&lt;&gt;"",'Your debts'!$F$11&lt;&gt;"",'Your debts'!$F$9&lt;'Your debts'!$F$11),W165,0)+IF(AND('Your debts'!$F$10&lt;&gt;"",'Your debts'!$F$11&lt;&gt;"",'Your debts'!$F$10&lt;'Your debts'!$F$11),AB165,0)+IF(AND('Your debts'!$F$12&lt;&gt;"",'Your debts'!$F$11&lt;&gt;"",'Your debts'!$F$12&lt;'Your debts'!$F$11),AL165,0)+IF(AND('Your debts'!$F$13&lt;&gt;"",'Your debts'!$F$11&lt;&gt;"",'Your debts'!$F$13&lt;'Your debts'!$F$11),AQ165,0)+IF(AND('Your debts'!$F$14&lt;&gt;"",'Your debts'!$F$11&lt;&gt;"",'Your debts'!$F$14&lt;'Your debts'!$F$11),AV165,0)+IF(AND('Your debts'!$F$15&lt;&gt;"",'Your debts'!$F$11&lt;&gt;"",'Your debts'!$F$15&lt;'Your debts'!$F$11),BA165,0)))))</f>
        <v/>
      </c>
      <c r="AI165" s="33">
        <f>AG165-AH165</f>
        <v/>
      </c>
      <c r="AJ165" s="33">
        <f>IF(AN164&lt;=0,0,ROUND(AN164*(1+'Your debts'!$D$12/1200),2))</f>
        <v/>
      </c>
      <c r="AK165" s="33">
        <f>IF(AJ165&lt;=0,0,MIN('Your debts'!$E$12,AJ165))</f>
        <v/>
      </c>
      <c r="AL165" s="33">
        <f>AJ165-AK165</f>
        <v/>
      </c>
      <c r="AM165" s="33">
        <f>IF('Your debts'!$F$12="",0,MIN(AL165,MAX(0,MAX(0,'Your debts'!$C$19-(G165+L165+Q165+V165+AA165+AF165+AK165+AP165+AU165+AZ165))-(IF(AND('Your debts'!$F$6&lt;&gt;"",'Your debts'!$F$12&lt;&gt;"",'Your debts'!$F$6&lt;'Your debts'!$F$12),H165,0)+IF(AND('Your debts'!$F$7&lt;&gt;"",'Your debts'!$F$12&lt;&gt;"",'Your debts'!$F$7&lt;'Your debts'!$F$12),M165,0)+IF(AND('Your debts'!$F$8&lt;&gt;"",'Your debts'!$F$12&lt;&gt;"",'Your debts'!$F$8&lt;'Your debts'!$F$12),R165,0)+IF(AND('Your debts'!$F$9&lt;&gt;"",'Your debts'!$F$12&lt;&gt;"",'Your debts'!$F$9&lt;'Your debts'!$F$12),W165,0)+IF(AND('Your debts'!$F$10&lt;&gt;"",'Your debts'!$F$12&lt;&gt;"",'Your debts'!$F$10&lt;'Your debts'!$F$12),AB165,0)+IF(AND('Your debts'!$F$11&lt;&gt;"",'Your debts'!$F$12&lt;&gt;"",'Your debts'!$F$11&lt;'Your debts'!$F$12),AG165,0)+IF(AND('Your debts'!$F$13&lt;&gt;"",'Your debts'!$F$12&lt;&gt;"",'Your debts'!$F$13&lt;'Your debts'!$F$12),AQ165,0)+IF(AND('Your debts'!$F$14&lt;&gt;"",'Your debts'!$F$12&lt;&gt;"",'Your debts'!$F$14&lt;'Your debts'!$F$12),AV165,0)+IF(AND('Your debts'!$F$15&lt;&gt;"",'Your debts'!$F$12&lt;&gt;"",'Your debts'!$F$15&lt;'Your debts'!$F$12),BA165,0)))))</f>
        <v/>
      </c>
      <c r="AN165" s="33">
        <f>AL165-AM165</f>
        <v/>
      </c>
      <c r="AO165" s="33">
        <f>IF(AS164&lt;=0,0,ROUND(AS164*(1+'Your debts'!$D$13/1200),2))</f>
        <v/>
      </c>
      <c r="AP165" s="33">
        <f>IF(AO165&lt;=0,0,MIN('Your debts'!$E$13,AO165))</f>
        <v/>
      </c>
      <c r="AQ165" s="33">
        <f>AO165-AP165</f>
        <v/>
      </c>
      <c r="AR165" s="33">
        <f>IF('Your debts'!$F$13="",0,MIN(AQ165,MAX(0,MAX(0,'Your debts'!$C$19-(G165+L165+Q165+V165+AA165+AF165+AK165+AP165+AU165+AZ165))-(IF(AND('Your debts'!$F$6&lt;&gt;"",'Your debts'!$F$13&lt;&gt;"",'Your debts'!$F$6&lt;'Your debts'!$F$13),H165,0)+IF(AND('Your debts'!$F$7&lt;&gt;"",'Your debts'!$F$13&lt;&gt;"",'Your debts'!$F$7&lt;'Your debts'!$F$13),M165,0)+IF(AND('Your debts'!$F$8&lt;&gt;"",'Your debts'!$F$13&lt;&gt;"",'Your debts'!$F$8&lt;'Your debts'!$F$13),R165,0)+IF(AND('Your debts'!$F$9&lt;&gt;"",'Your debts'!$F$13&lt;&gt;"",'Your debts'!$F$9&lt;'Your debts'!$F$13),W165,0)+IF(AND('Your debts'!$F$10&lt;&gt;"",'Your debts'!$F$13&lt;&gt;"",'Your debts'!$F$10&lt;'Your debts'!$F$13),AB165,0)+IF(AND('Your debts'!$F$11&lt;&gt;"",'Your debts'!$F$13&lt;&gt;"",'Your debts'!$F$11&lt;'Your debts'!$F$13),AG165,0)+IF(AND('Your debts'!$F$12&lt;&gt;"",'Your debts'!$F$13&lt;&gt;"",'Your debts'!$F$12&lt;'Your debts'!$F$13),AL165,0)+IF(AND('Your debts'!$F$14&lt;&gt;"",'Your debts'!$F$13&lt;&gt;"",'Your debts'!$F$14&lt;'Your debts'!$F$13),AV165,0)+IF(AND('Your debts'!$F$15&lt;&gt;"",'Your debts'!$F$13&lt;&gt;"",'Your debts'!$F$15&lt;'Your debts'!$F$13),BA165,0)))))</f>
        <v/>
      </c>
      <c r="AS165" s="33">
        <f>AQ165-AR165</f>
        <v/>
      </c>
      <c r="AT165" s="33">
        <f>IF(AX164&lt;=0,0,ROUND(AX164*(1+'Your debts'!$D$14/1200),2))</f>
        <v/>
      </c>
      <c r="AU165" s="33">
        <f>IF(AT165&lt;=0,0,MIN('Your debts'!$E$14,AT165))</f>
        <v/>
      </c>
      <c r="AV165" s="33">
        <f>AT165-AU165</f>
        <v/>
      </c>
      <c r="AW165" s="33">
        <f>IF('Your debts'!$F$14="",0,MIN(AV165,MAX(0,MAX(0,'Your debts'!$C$19-(G165+L165+Q165+V165+AA165+AF165+AK165+AP165+AU165+AZ165))-(IF(AND('Your debts'!$F$6&lt;&gt;"",'Your debts'!$F$14&lt;&gt;"",'Your debts'!$F$6&lt;'Your debts'!$F$14),H165,0)+IF(AND('Your debts'!$F$7&lt;&gt;"",'Your debts'!$F$14&lt;&gt;"",'Your debts'!$F$7&lt;'Your debts'!$F$14),M165,0)+IF(AND('Your debts'!$F$8&lt;&gt;"",'Your debts'!$F$14&lt;&gt;"",'Your debts'!$F$8&lt;'Your debts'!$F$14),R165,0)+IF(AND('Your debts'!$F$9&lt;&gt;"",'Your debts'!$F$14&lt;&gt;"",'Your debts'!$F$9&lt;'Your debts'!$F$14),W165,0)+IF(AND('Your debts'!$F$10&lt;&gt;"",'Your debts'!$F$14&lt;&gt;"",'Your debts'!$F$10&lt;'Your debts'!$F$14),AB165,0)+IF(AND('Your debts'!$F$11&lt;&gt;"",'Your debts'!$F$14&lt;&gt;"",'Your debts'!$F$11&lt;'Your debts'!$F$14),AG165,0)+IF(AND('Your debts'!$F$12&lt;&gt;"",'Your debts'!$F$14&lt;&gt;"",'Your debts'!$F$12&lt;'Your debts'!$F$14),AL165,0)+IF(AND('Your debts'!$F$13&lt;&gt;"",'Your debts'!$F$14&lt;&gt;"",'Your debts'!$F$13&lt;'Your debts'!$F$14),AQ165,0)+IF(AND('Your debts'!$F$15&lt;&gt;"",'Your debts'!$F$14&lt;&gt;"",'Your debts'!$F$15&lt;'Your debts'!$F$14),BA165,0)))))</f>
        <v/>
      </c>
      <c r="AX165" s="33">
        <f>AV165-AW165</f>
        <v/>
      </c>
      <c r="AY165" s="33">
        <f>IF(BC164&lt;=0,0,ROUND(BC164*(1+'Your debts'!$D$15/1200),2))</f>
        <v/>
      </c>
      <c r="AZ165" s="33">
        <f>IF(AY165&lt;=0,0,MIN('Your debts'!$E$15,AY165))</f>
        <v/>
      </c>
      <c r="BA165" s="33">
        <f>AY165-AZ165</f>
        <v/>
      </c>
      <c r="BB165" s="33">
        <f>IF('Your debts'!$F$15="",0,MIN(BA165,MAX(0,MAX(0,'Your debts'!$C$19-(G165+L165+Q165+V165+AA165+AF165+AK165+AP165+AU165+AZ165))-(IF(AND('Your debts'!$F$6&lt;&gt;"",'Your debts'!$F$15&lt;&gt;"",'Your debts'!$F$6&lt;'Your debts'!$F$15),H165,0)+IF(AND('Your debts'!$F$7&lt;&gt;"",'Your debts'!$F$15&lt;&gt;"",'Your debts'!$F$7&lt;'Your debts'!$F$15),M165,0)+IF(AND('Your debts'!$F$8&lt;&gt;"",'Your debts'!$F$15&lt;&gt;"",'Your debts'!$F$8&lt;'Your debts'!$F$15),R165,0)+IF(AND('Your debts'!$F$9&lt;&gt;"",'Your debts'!$F$15&lt;&gt;"",'Your debts'!$F$9&lt;'Your debts'!$F$15),W165,0)+IF(AND('Your debts'!$F$10&lt;&gt;"",'Your debts'!$F$15&lt;&gt;"",'Your debts'!$F$10&lt;'Your debts'!$F$15),AB165,0)+IF(AND('Your debts'!$F$11&lt;&gt;"",'Your debts'!$F$15&lt;&gt;"",'Your debts'!$F$11&lt;'Your debts'!$F$15),AG165,0)+IF(AND('Your debts'!$F$12&lt;&gt;"",'Your debts'!$F$15&lt;&gt;"",'Your debts'!$F$12&lt;'Your debts'!$F$15),AL165,0)+IF(AND('Your debts'!$F$13&lt;&gt;"",'Your debts'!$F$15&lt;&gt;"",'Your debts'!$F$13&lt;'Your debts'!$F$15),AQ165,0)+IF(AND('Your debts'!$F$14&lt;&gt;"",'Your debts'!$F$15&lt;&gt;"",'Your debts'!$F$14&lt;'Your debts'!$F$15),AV165,0)))))</f>
        <v/>
      </c>
      <c r="BC165" s="33">
        <f>BA165-BB165</f>
        <v/>
      </c>
    </row>
    <row r="166">
      <c r="A166" s="30" t="n">
        <v>151</v>
      </c>
      <c r="B166" s="31">
        <f>EDATE($B$15,151)</f>
        <v/>
      </c>
      <c r="C166" s="32">
        <f>IF(J165&lt;=0,0,F166-J165)+IF(O165&lt;=0,0,K166-O165)+IF(T165&lt;=0,0,P166-T165)+IF(Y165&lt;=0,0,U166-Y165)+IF(AD165&lt;=0,0,Z166-AD165)+IF(AI165&lt;=0,0,AE166-AI165)+IF(AN165&lt;=0,0,AJ166-AN165)+IF(AS165&lt;=0,0,AO166-AS165)+IF(AX165&lt;=0,0,AT166-AX165)+IF(BC165&lt;=0,0,AY166-BC165)</f>
        <v/>
      </c>
      <c r="D166" s="32">
        <f>G166+I166+L166+N166+Q166+S166+V166+X166+AA166+AC166+AF166+AH166+AK166+AM166+AP166+AR166+AU166+AW166+AZ166+BB166</f>
        <v/>
      </c>
      <c r="E166" s="32">
        <f>J166+O166+T166+Y166+AD166+AI166+AN166+AS166+AX166+BC166</f>
        <v/>
      </c>
      <c r="F166" s="33">
        <f>IF(J165&lt;=0,0,ROUND(J165*(1+'Your debts'!$D$6/1200),2))</f>
        <v/>
      </c>
      <c r="G166" s="33">
        <f>IF(F166&lt;=0,0,MIN('Your debts'!$E$6,F166))</f>
        <v/>
      </c>
      <c r="H166" s="33">
        <f>F166-G166</f>
        <v/>
      </c>
      <c r="I166" s="33">
        <f>IF('Your debts'!$F$6="",0,MIN(H166,MAX(0,MAX(0,'Your debts'!$C$19-(G166+L166+Q166+V166+AA166+AF166+AK166+AP166+AU166+AZ166))-(IF(AND('Your debts'!$F$7&lt;&gt;"",'Your debts'!$F$6&lt;&gt;"",'Your debts'!$F$7&lt;'Your debts'!$F$6),M166,0)+IF(AND('Your debts'!$F$8&lt;&gt;"",'Your debts'!$F$6&lt;&gt;"",'Your debts'!$F$8&lt;'Your debts'!$F$6),R166,0)+IF(AND('Your debts'!$F$9&lt;&gt;"",'Your debts'!$F$6&lt;&gt;"",'Your debts'!$F$9&lt;'Your debts'!$F$6),W166,0)+IF(AND('Your debts'!$F$10&lt;&gt;"",'Your debts'!$F$6&lt;&gt;"",'Your debts'!$F$10&lt;'Your debts'!$F$6),AB166,0)+IF(AND('Your debts'!$F$11&lt;&gt;"",'Your debts'!$F$6&lt;&gt;"",'Your debts'!$F$11&lt;'Your debts'!$F$6),AG166,0)+IF(AND('Your debts'!$F$12&lt;&gt;"",'Your debts'!$F$6&lt;&gt;"",'Your debts'!$F$12&lt;'Your debts'!$F$6),AL166,0)+IF(AND('Your debts'!$F$13&lt;&gt;"",'Your debts'!$F$6&lt;&gt;"",'Your debts'!$F$13&lt;'Your debts'!$F$6),AQ166,0)+IF(AND('Your debts'!$F$14&lt;&gt;"",'Your debts'!$F$6&lt;&gt;"",'Your debts'!$F$14&lt;'Your debts'!$F$6),AV166,0)+IF(AND('Your debts'!$F$15&lt;&gt;"",'Your debts'!$F$6&lt;&gt;"",'Your debts'!$F$15&lt;'Your debts'!$F$6),BA166,0)))))</f>
        <v/>
      </c>
      <c r="J166" s="33">
        <f>H166-I166</f>
        <v/>
      </c>
      <c r="K166" s="33">
        <f>IF(O165&lt;=0,0,ROUND(O165*(1+'Your debts'!$D$7/1200),2))</f>
        <v/>
      </c>
      <c r="L166" s="33">
        <f>IF(K166&lt;=0,0,MIN('Your debts'!$E$7,K166))</f>
        <v/>
      </c>
      <c r="M166" s="33">
        <f>K166-L166</f>
        <v/>
      </c>
      <c r="N166" s="33">
        <f>IF('Your debts'!$F$7="",0,MIN(M166,MAX(0,MAX(0,'Your debts'!$C$19-(G166+L166+Q166+V166+AA166+AF166+AK166+AP166+AU166+AZ166))-(IF(AND('Your debts'!$F$6&lt;&gt;"",'Your debts'!$F$7&lt;&gt;"",'Your debts'!$F$6&lt;'Your debts'!$F$7),H166,0)+IF(AND('Your debts'!$F$8&lt;&gt;"",'Your debts'!$F$7&lt;&gt;"",'Your debts'!$F$8&lt;'Your debts'!$F$7),R166,0)+IF(AND('Your debts'!$F$9&lt;&gt;"",'Your debts'!$F$7&lt;&gt;"",'Your debts'!$F$9&lt;'Your debts'!$F$7),W166,0)+IF(AND('Your debts'!$F$10&lt;&gt;"",'Your debts'!$F$7&lt;&gt;"",'Your debts'!$F$10&lt;'Your debts'!$F$7),AB166,0)+IF(AND('Your debts'!$F$11&lt;&gt;"",'Your debts'!$F$7&lt;&gt;"",'Your debts'!$F$11&lt;'Your debts'!$F$7),AG166,0)+IF(AND('Your debts'!$F$12&lt;&gt;"",'Your debts'!$F$7&lt;&gt;"",'Your debts'!$F$12&lt;'Your debts'!$F$7),AL166,0)+IF(AND('Your debts'!$F$13&lt;&gt;"",'Your debts'!$F$7&lt;&gt;"",'Your debts'!$F$13&lt;'Your debts'!$F$7),AQ166,0)+IF(AND('Your debts'!$F$14&lt;&gt;"",'Your debts'!$F$7&lt;&gt;"",'Your debts'!$F$14&lt;'Your debts'!$F$7),AV166,0)+IF(AND('Your debts'!$F$15&lt;&gt;"",'Your debts'!$F$7&lt;&gt;"",'Your debts'!$F$15&lt;'Your debts'!$F$7),BA166,0)))))</f>
        <v/>
      </c>
      <c r="O166" s="33">
        <f>M166-N166</f>
        <v/>
      </c>
      <c r="P166" s="33">
        <f>IF(T165&lt;=0,0,ROUND(T165*(1+'Your debts'!$D$8/1200),2))</f>
        <v/>
      </c>
      <c r="Q166" s="33">
        <f>IF(P166&lt;=0,0,MIN('Your debts'!$E$8,P166))</f>
        <v/>
      </c>
      <c r="R166" s="33">
        <f>P166-Q166</f>
        <v/>
      </c>
      <c r="S166" s="33">
        <f>IF('Your debts'!$F$8="",0,MIN(R166,MAX(0,MAX(0,'Your debts'!$C$19-(G166+L166+Q166+V166+AA166+AF166+AK166+AP166+AU166+AZ166))-(IF(AND('Your debts'!$F$6&lt;&gt;"",'Your debts'!$F$8&lt;&gt;"",'Your debts'!$F$6&lt;'Your debts'!$F$8),H166,0)+IF(AND('Your debts'!$F$7&lt;&gt;"",'Your debts'!$F$8&lt;&gt;"",'Your debts'!$F$7&lt;'Your debts'!$F$8),M166,0)+IF(AND('Your debts'!$F$9&lt;&gt;"",'Your debts'!$F$8&lt;&gt;"",'Your debts'!$F$9&lt;'Your debts'!$F$8),W166,0)+IF(AND('Your debts'!$F$10&lt;&gt;"",'Your debts'!$F$8&lt;&gt;"",'Your debts'!$F$10&lt;'Your debts'!$F$8),AB166,0)+IF(AND('Your debts'!$F$11&lt;&gt;"",'Your debts'!$F$8&lt;&gt;"",'Your debts'!$F$11&lt;'Your debts'!$F$8),AG166,0)+IF(AND('Your debts'!$F$12&lt;&gt;"",'Your debts'!$F$8&lt;&gt;"",'Your debts'!$F$12&lt;'Your debts'!$F$8),AL166,0)+IF(AND('Your debts'!$F$13&lt;&gt;"",'Your debts'!$F$8&lt;&gt;"",'Your debts'!$F$13&lt;'Your debts'!$F$8),AQ166,0)+IF(AND('Your debts'!$F$14&lt;&gt;"",'Your debts'!$F$8&lt;&gt;"",'Your debts'!$F$14&lt;'Your debts'!$F$8),AV166,0)+IF(AND('Your debts'!$F$15&lt;&gt;"",'Your debts'!$F$8&lt;&gt;"",'Your debts'!$F$15&lt;'Your debts'!$F$8),BA166,0)))))</f>
        <v/>
      </c>
      <c r="T166" s="33">
        <f>R166-S166</f>
        <v/>
      </c>
      <c r="U166" s="33">
        <f>IF(Y165&lt;=0,0,ROUND(Y165*(1+'Your debts'!$D$9/1200),2))</f>
        <v/>
      </c>
      <c r="V166" s="33">
        <f>IF(U166&lt;=0,0,MIN('Your debts'!$E$9,U166))</f>
        <v/>
      </c>
      <c r="W166" s="33">
        <f>U166-V166</f>
        <v/>
      </c>
      <c r="X166" s="33">
        <f>IF('Your debts'!$F$9="",0,MIN(W166,MAX(0,MAX(0,'Your debts'!$C$19-(G166+L166+Q166+V166+AA166+AF166+AK166+AP166+AU166+AZ166))-(IF(AND('Your debts'!$F$6&lt;&gt;"",'Your debts'!$F$9&lt;&gt;"",'Your debts'!$F$6&lt;'Your debts'!$F$9),H166,0)+IF(AND('Your debts'!$F$7&lt;&gt;"",'Your debts'!$F$9&lt;&gt;"",'Your debts'!$F$7&lt;'Your debts'!$F$9),M166,0)+IF(AND('Your debts'!$F$8&lt;&gt;"",'Your debts'!$F$9&lt;&gt;"",'Your debts'!$F$8&lt;'Your debts'!$F$9),R166,0)+IF(AND('Your debts'!$F$10&lt;&gt;"",'Your debts'!$F$9&lt;&gt;"",'Your debts'!$F$10&lt;'Your debts'!$F$9),AB166,0)+IF(AND('Your debts'!$F$11&lt;&gt;"",'Your debts'!$F$9&lt;&gt;"",'Your debts'!$F$11&lt;'Your debts'!$F$9),AG166,0)+IF(AND('Your debts'!$F$12&lt;&gt;"",'Your debts'!$F$9&lt;&gt;"",'Your debts'!$F$12&lt;'Your debts'!$F$9),AL166,0)+IF(AND('Your debts'!$F$13&lt;&gt;"",'Your debts'!$F$9&lt;&gt;"",'Your debts'!$F$13&lt;'Your debts'!$F$9),AQ166,0)+IF(AND('Your debts'!$F$14&lt;&gt;"",'Your debts'!$F$9&lt;&gt;"",'Your debts'!$F$14&lt;'Your debts'!$F$9),AV166,0)+IF(AND('Your debts'!$F$15&lt;&gt;"",'Your debts'!$F$9&lt;&gt;"",'Your debts'!$F$15&lt;'Your debts'!$F$9),BA166,0)))))</f>
        <v/>
      </c>
      <c r="Y166" s="33">
        <f>W166-X166</f>
        <v/>
      </c>
      <c r="Z166" s="33">
        <f>IF(AD165&lt;=0,0,ROUND(AD165*(1+'Your debts'!$D$10/1200),2))</f>
        <v/>
      </c>
      <c r="AA166" s="33">
        <f>IF(Z166&lt;=0,0,MIN('Your debts'!$E$10,Z166))</f>
        <v/>
      </c>
      <c r="AB166" s="33">
        <f>Z166-AA166</f>
        <v/>
      </c>
      <c r="AC166" s="33">
        <f>IF('Your debts'!$F$10="",0,MIN(AB166,MAX(0,MAX(0,'Your debts'!$C$19-(G166+L166+Q166+V166+AA166+AF166+AK166+AP166+AU166+AZ166))-(IF(AND('Your debts'!$F$6&lt;&gt;"",'Your debts'!$F$10&lt;&gt;"",'Your debts'!$F$6&lt;'Your debts'!$F$10),H166,0)+IF(AND('Your debts'!$F$7&lt;&gt;"",'Your debts'!$F$10&lt;&gt;"",'Your debts'!$F$7&lt;'Your debts'!$F$10),M166,0)+IF(AND('Your debts'!$F$8&lt;&gt;"",'Your debts'!$F$10&lt;&gt;"",'Your debts'!$F$8&lt;'Your debts'!$F$10),R166,0)+IF(AND('Your debts'!$F$9&lt;&gt;"",'Your debts'!$F$10&lt;&gt;"",'Your debts'!$F$9&lt;'Your debts'!$F$10),W166,0)+IF(AND('Your debts'!$F$11&lt;&gt;"",'Your debts'!$F$10&lt;&gt;"",'Your debts'!$F$11&lt;'Your debts'!$F$10),AG166,0)+IF(AND('Your debts'!$F$12&lt;&gt;"",'Your debts'!$F$10&lt;&gt;"",'Your debts'!$F$12&lt;'Your debts'!$F$10),AL166,0)+IF(AND('Your debts'!$F$13&lt;&gt;"",'Your debts'!$F$10&lt;&gt;"",'Your debts'!$F$13&lt;'Your debts'!$F$10),AQ166,0)+IF(AND('Your debts'!$F$14&lt;&gt;"",'Your debts'!$F$10&lt;&gt;"",'Your debts'!$F$14&lt;'Your debts'!$F$10),AV166,0)+IF(AND('Your debts'!$F$15&lt;&gt;"",'Your debts'!$F$10&lt;&gt;"",'Your debts'!$F$15&lt;'Your debts'!$F$10),BA166,0)))))</f>
        <v/>
      </c>
      <c r="AD166" s="33">
        <f>AB166-AC166</f>
        <v/>
      </c>
      <c r="AE166" s="33">
        <f>IF(AI165&lt;=0,0,ROUND(AI165*(1+'Your debts'!$D$11/1200),2))</f>
        <v/>
      </c>
      <c r="AF166" s="33">
        <f>IF(AE166&lt;=0,0,MIN('Your debts'!$E$11,AE166))</f>
        <v/>
      </c>
      <c r="AG166" s="33">
        <f>AE166-AF166</f>
        <v/>
      </c>
      <c r="AH166" s="33">
        <f>IF('Your debts'!$F$11="",0,MIN(AG166,MAX(0,MAX(0,'Your debts'!$C$19-(G166+L166+Q166+V166+AA166+AF166+AK166+AP166+AU166+AZ166))-(IF(AND('Your debts'!$F$6&lt;&gt;"",'Your debts'!$F$11&lt;&gt;"",'Your debts'!$F$6&lt;'Your debts'!$F$11),H166,0)+IF(AND('Your debts'!$F$7&lt;&gt;"",'Your debts'!$F$11&lt;&gt;"",'Your debts'!$F$7&lt;'Your debts'!$F$11),M166,0)+IF(AND('Your debts'!$F$8&lt;&gt;"",'Your debts'!$F$11&lt;&gt;"",'Your debts'!$F$8&lt;'Your debts'!$F$11),R166,0)+IF(AND('Your debts'!$F$9&lt;&gt;"",'Your debts'!$F$11&lt;&gt;"",'Your debts'!$F$9&lt;'Your debts'!$F$11),W166,0)+IF(AND('Your debts'!$F$10&lt;&gt;"",'Your debts'!$F$11&lt;&gt;"",'Your debts'!$F$10&lt;'Your debts'!$F$11),AB166,0)+IF(AND('Your debts'!$F$12&lt;&gt;"",'Your debts'!$F$11&lt;&gt;"",'Your debts'!$F$12&lt;'Your debts'!$F$11),AL166,0)+IF(AND('Your debts'!$F$13&lt;&gt;"",'Your debts'!$F$11&lt;&gt;"",'Your debts'!$F$13&lt;'Your debts'!$F$11),AQ166,0)+IF(AND('Your debts'!$F$14&lt;&gt;"",'Your debts'!$F$11&lt;&gt;"",'Your debts'!$F$14&lt;'Your debts'!$F$11),AV166,0)+IF(AND('Your debts'!$F$15&lt;&gt;"",'Your debts'!$F$11&lt;&gt;"",'Your debts'!$F$15&lt;'Your debts'!$F$11),BA166,0)))))</f>
        <v/>
      </c>
      <c r="AI166" s="33">
        <f>AG166-AH166</f>
        <v/>
      </c>
      <c r="AJ166" s="33">
        <f>IF(AN165&lt;=0,0,ROUND(AN165*(1+'Your debts'!$D$12/1200),2))</f>
        <v/>
      </c>
      <c r="AK166" s="33">
        <f>IF(AJ166&lt;=0,0,MIN('Your debts'!$E$12,AJ166))</f>
        <v/>
      </c>
      <c r="AL166" s="33">
        <f>AJ166-AK166</f>
        <v/>
      </c>
      <c r="AM166" s="33">
        <f>IF('Your debts'!$F$12="",0,MIN(AL166,MAX(0,MAX(0,'Your debts'!$C$19-(G166+L166+Q166+V166+AA166+AF166+AK166+AP166+AU166+AZ166))-(IF(AND('Your debts'!$F$6&lt;&gt;"",'Your debts'!$F$12&lt;&gt;"",'Your debts'!$F$6&lt;'Your debts'!$F$12),H166,0)+IF(AND('Your debts'!$F$7&lt;&gt;"",'Your debts'!$F$12&lt;&gt;"",'Your debts'!$F$7&lt;'Your debts'!$F$12),M166,0)+IF(AND('Your debts'!$F$8&lt;&gt;"",'Your debts'!$F$12&lt;&gt;"",'Your debts'!$F$8&lt;'Your debts'!$F$12),R166,0)+IF(AND('Your debts'!$F$9&lt;&gt;"",'Your debts'!$F$12&lt;&gt;"",'Your debts'!$F$9&lt;'Your debts'!$F$12),W166,0)+IF(AND('Your debts'!$F$10&lt;&gt;"",'Your debts'!$F$12&lt;&gt;"",'Your debts'!$F$10&lt;'Your debts'!$F$12),AB166,0)+IF(AND('Your debts'!$F$11&lt;&gt;"",'Your debts'!$F$12&lt;&gt;"",'Your debts'!$F$11&lt;'Your debts'!$F$12),AG166,0)+IF(AND('Your debts'!$F$13&lt;&gt;"",'Your debts'!$F$12&lt;&gt;"",'Your debts'!$F$13&lt;'Your debts'!$F$12),AQ166,0)+IF(AND('Your debts'!$F$14&lt;&gt;"",'Your debts'!$F$12&lt;&gt;"",'Your debts'!$F$14&lt;'Your debts'!$F$12),AV166,0)+IF(AND('Your debts'!$F$15&lt;&gt;"",'Your debts'!$F$12&lt;&gt;"",'Your debts'!$F$15&lt;'Your debts'!$F$12),BA166,0)))))</f>
        <v/>
      </c>
      <c r="AN166" s="33">
        <f>AL166-AM166</f>
        <v/>
      </c>
      <c r="AO166" s="33">
        <f>IF(AS165&lt;=0,0,ROUND(AS165*(1+'Your debts'!$D$13/1200),2))</f>
        <v/>
      </c>
      <c r="AP166" s="33">
        <f>IF(AO166&lt;=0,0,MIN('Your debts'!$E$13,AO166))</f>
        <v/>
      </c>
      <c r="AQ166" s="33">
        <f>AO166-AP166</f>
        <v/>
      </c>
      <c r="AR166" s="33">
        <f>IF('Your debts'!$F$13="",0,MIN(AQ166,MAX(0,MAX(0,'Your debts'!$C$19-(G166+L166+Q166+V166+AA166+AF166+AK166+AP166+AU166+AZ166))-(IF(AND('Your debts'!$F$6&lt;&gt;"",'Your debts'!$F$13&lt;&gt;"",'Your debts'!$F$6&lt;'Your debts'!$F$13),H166,0)+IF(AND('Your debts'!$F$7&lt;&gt;"",'Your debts'!$F$13&lt;&gt;"",'Your debts'!$F$7&lt;'Your debts'!$F$13),M166,0)+IF(AND('Your debts'!$F$8&lt;&gt;"",'Your debts'!$F$13&lt;&gt;"",'Your debts'!$F$8&lt;'Your debts'!$F$13),R166,0)+IF(AND('Your debts'!$F$9&lt;&gt;"",'Your debts'!$F$13&lt;&gt;"",'Your debts'!$F$9&lt;'Your debts'!$F$13),W166,0)+IF(AND('Your debts'!$F$10&lt;&gt;"",'Your debts'!$F$13&lt;&gt;"",'Your debts'!$F$10&lt;'Your debts'!$F$13),AB166,0)+IF(AND('Your debts'!$F$11&lt;&gt;"",'Your debts'!$F$13&lt;&gt;"",'Your debts'!$F$11&lt;'Your debts'!$F$13),AG166,0)+IF(AND('Your debts'!$F$12&lt;&gt;"",'Your debts'!$F$13&lt;&gt;"",'Your debts'!$F$12&lt;'Your debts'!$F$13),AL166,0)+IF(AND('Your debts'!$F$14&lt;&gt;"",'Your debts'!$F$13&lt;&gt;"",'Your debts'!$F$14&lt;'Your debts'!$F$13),AV166,0)+IF(AND('Your debts'!$F$15&lt;&gt;"",'Your debts'!$F$13&lt;&gt;"",'Your debts'!$F$15&lt;'Your debts'!$F$13),BA166,0)))))</f>
        <v/>
      </c>
      <c r="AS166" s="33">
        <f>AQ166-AR166</f>
        <v/>
      </c>
      <c r="AT166" s="33">
        <f>IF(AX165&lt;=0,0,ROUND(AX165*(1+'Your debts'!$D$14/1200),2))</f>
        <v/>
      </c>
      <c r="AU166" s="33">
        <f>IF(AT166&lt;=0,0,MIN('Your debts'!$E$14,AT166))</f>
        <v/>
      </c>
      <c r="AV166" s="33">
        <f>AT166-AU166</f>
        <v/>
      </c>
      <c r="AW166" s="33">
        <f>IF('Your debts'!$F$14="",0,MIN(AV166,MAX(0,MAX(0,'Your debts'!$C$19-(G166+L166+Q166+V166+AA166+AF166+AK166+AP166+AU166+AZ166))-(IF(AND('Your debts'!$F$6&lt;&gt;"",'Your debts'!$F$14&lt;&gt;"",'Your debts'!$F$6&lt;'Your debts'!$F$14),H166,0)+IF(AND('Your debts'!$F$7&lt;&gt;"",'Your debts'!$F$14&lt;&gt;"",'Your debts'!$F$7&lt;'Your debts'!$F$14),M166,0)+IF(AND('Your debts'!$F$8&lt;&gt;"",'Your debts'!$F$14&lt;&gt;"",'Your debts'!$F$8&lt;'Your debts'!$F$14),R166,0)+IF(AND('Your debts'!$F$9&lt;&gt;"",'Your debts'!$F$14&lt;&gt;"",'Your debts'!$F$9&lt;'Your debts'!$F$14),W166,0)+IF(AND('Your debts'!$F$10&lt;&gt;"",'Your debts'!$F$14&lt;&gt;"",'Your debts'!$F$10&lt;'Your debts'!$F$14),AB166,0)+IF(AND('Your debts'!$F$11&lt;&gt;"",'Your debts'!$F$14&lt;&gt;"",'Your debts'!$F$11&lt;'Your debts'!$F$14),AG166,0)+IF(AND('Your debts'!$F$12&lt;&gt;"",'Your debts'!$F$14&lt;&gt;"",'Your debts'!$F$12&lt;'Your debts'!$F$14),AL166,0)+IF(AND('Your debts'!$F$13&lt;&gt;"",'Your debts'!$F$14&lt;&gt;"",'Your debts'!$F$13&lt;'Your debts'!$F$14),AQ166,0)+IF(AND('Your debts'!$F$15&lt;&gt;"",'Your debts'!$F$14&lt;&gt;"",'Your debts'!$F$15&lt;'Your debts'!$F$14),BA166,0)))))</f>
        <v/>
      </c>
      <c r="AX166" s="33">
        <f>AV166-AW166</f>
        <v/>
      </c>
      <c r="AY166" s="33">
        <f>IF(BC165&lt;=0,0,ROUND(BC165*(1+'Your debts'!$D$15/1200),2))</f>
        <v/>
      </c>
      <c r="AZ166" s="33">
        <f>IF(AY166&lt;=0,0,MIN('Your debts'!$E$15,AY166))</f>
        <v/>
      </c>
      <c r="BA166" s="33">
        <f>AY166-AZ166</f>
        <v/>
      </c>
      <c r="BB166" s="33">
        <f>IF('Your debts'!$F$15="",0,MIN(BA166,MAX(0,MAX(0,'Your debts'!$C$19-(G166+L166+Q166+V166+AA166+AF166+AK166+AP166+AU166+AZ166))-(IF(AND('Your debts'!$F$6&lt;&gt;"",'Your debts'!$F$15&lt;&gt;"",'Your debts'!$F$6&lt;'Your debts'!$F$15),H166,0)+IF(AND('Your debts'!$F$7&lt;&gt;"",'Your debts'!$F$15&lt;&gt;"",'Your debts'!$F$7&lt;'Your debts'!$F$15),M166,0)+IF(AND('Your debts'!$F$8&lt;&gt;"",'Your debts'!$F$15&lt;&gt;"",'Your debts'!$F$8&lt;'Your debts'!$F$15),R166,0)+IF(AND('Your debts'!$F$9&lt;&gt;"",'Your debts'!$F$15&lt;&gt;"",'Your debts'!$F$9&lt;'Your debts'!$F$15),W166,0)+IF(AND('Your debts'!$F$10&lt;&gt;"",'Your debts'!$F$15&lt;&gt;"",'Your debts'!$F$10&lt;'Your debts'!$F$15),AB166,0)+IF(AND('Your debts'!$F$11&lt;&gt;"",'Your debts'!$F$15&lt;&gt;"",'Your debts'!$F$11&lt;'Your debts'!$F$15),AG166,0)+IF(AND('Your debts'!$F$12&lt;&gt;"",'Your debts'!$F$15&lt;&gt;"",'Your debts'!$F$12&lt;'Your debts'!$F$15),AL166,0)+IF(AND('Your debts'!$F$13&lt;&gt;"",'Your debts'!$F$15&lt;&gt;"",'Your debts'!$F$13&lt;'Your debts'!$F$15),AQ166,0)+IF(AND('Your debts'!$F$14&lt;&gt;"",'Your debts'!$F$15&lt;&gt;"",'Your debts'!$F$14&lt;'Your debts'!$F$15),AV166,0)))))</f>
        <v/>
      </c>
      <c r="BC166" s="33">
        <f>BA166-BB166</f>
        <v/>
      </c>
    </row>
    <row r="167">
      <c r="A167" s="30" t="n">
        <v>152</v>
      </c>
      <c r="B167" s="31">
        <f>EDATE($B$15,152)</f>
        <v/>
      </c>
      <c r="C167" s="32">
        <f>IF(J166&lt;=0,0,F167-J166)+IF(O166&lt;=0,0,K167-O166)+IF(T166&lt;=0,0,P167-T166)+IF(Y166&lt;=0,0,U167-Y166)+IF(AD166&lt;=0,0,Z167-AD166)+IF(AI166&lt;=0,0,AE167-AI166)+IF(AN166&lt;=0,0,AJ167-AN166)+IF(AS166&lt;=0,0,AO167-AS166)+IF(AX166&lt;=0,0,AT167-AX166)+IF(BC166&lt;=0,0,AY167-BC166)</f>
        <v/>
      </c>
      <c r="D167" s="32">
        <f>G167+I167+L167+N167+Q167+S167+V167+X167+AA167+AC167+AF167+AH167+AK167+AM167+AP167+AR167+AU167+AW167+AZ167+BB167</f>
        <v/>
      </c>
      <c r="E167" s="32">
        <f>J167+O167+T167+Y167+AD167+AI167+AN167+AS167+AX167+BC167</f>
        <v/>
      </c>
      <c r="F167" s="33">
        <f>IF(J166&lt;=0,0,ROUND(J166*(1+'Your debts'!$D$6/1200),2))</f>
        <v/>
      </c>
      <c r="G167" s="33">
        <f>IF(F167&lt;=0,0,MIN('Your debts'!$E$6,F167))</f>
        <v/>
      </c>
      <c r="H167" s="33">
        <f>F167-G167</f>
        <v/>
      </c>
      <c r="I167" s="33">
        <f>IF('Your debts'!$F$6="",0,MIN(H167,MAX(0,MAX(0,'Your debts'!$C$19-(G167+L167+Q167+V167+AA167+AF167+AK167+AP167+AU167+AZ167))-(IF(AND('Your debts'!$F$7&lt;&gt;"",'Your debts'!$F$6&lt;&gt;"",'Your debts'!$F$7&lt;'Your debts'!$F$6),M167,0)+IF(AND('Your debts'!$F$8&lt;&gt;"",'Your debts'!$F$6&lt;&gt;"",'Your debts'!$F$8&lt;'Your debts'!$F$6),R167,0)+IF(AND('Your debts'!$F$9&lt;&gt;"",'Your debts'!$F$6&lt;&gt;"",'Your debts'!$F$9&lt;'Your debts'!$F$6),W167,0)+IF(AND('Your debts'!$F$10&lt;&gt;"",'Your debts'!$F$6&lt;&gt;"",'Your debts'!$F$10&lt;'Your debts'!$F$6),AB167,0)+IF(AND('Your debts'!$F$11&lt;&gt;"",'Your debts'!$F$6&lt;&gt;"",'Your debts'!$F$11&lt;'Your debts'!$F$6),AG167,0)+IF(AND('Your debts'!$F$12&lt;&gt;"",'Your debts'!$F$6&lt;&gt;"",'Your debts'!$F$12&lt;'Your debts'!$F$6),AL167,0)+IF(AND('Your debts'!$F$13&lt;&gt;"",'Your debts'!$F$6&lt;&gt;"",'Your debts'!$F$13&lt;'Your debts'!$F$6),AQ167,0)+IF(AND('Your debts'!$F$14&lt;&gt;"",'Your debts'!$F$6&lt;&gt;"",'Your debts'!$F$14&lt;'Your debts'!$F$6),AV167,0)+IF(AND('Your debts'!$F$15&lt;&gt;"",'Your debts'!$F$6&lt;&gt;"",'Your debts'!$F$15&lt;'Your debts'!$F$6),BA167,0)))))</f>
        <v/>
      </c>
      <c r="J167" s="33">
        <f>H167-I167</f>
        <v/>
      </c>
      <c r="K167" s="33">
        <f>IF(O166&lt;=0,0,ROUND(O166*(1+'Your debts'!$D$7/1200),2))</f>
        <v/>
      </c>
      <c r="L167" s="33">
        <f>IF(K167&lt;=0,0,MIN('Your debts'!$E$7,K167))</f>
        <v/>
      </c>
      <c r="M167" s="33">
        <f>K167-L167</f>
        <v/>
      </c>
      <c r="N167" s="33">
        <f>IF('Your debts'!$F$7="",0,MIN(M167,MAX(0,MAX(0,'Your debts'!$C$19-(G167+L167+Q167+V167+AA167+AF167+AK167+AP167+AU167+AZ167))-(IF(AND('Your debts'!$F$6&lt;&gt;"",'Your debts'!$F$7&lt;&gt;"",'Your debts'!$F$6&lt;'Your debts'!$F$7),H167,0)+IF(AND('Your debts'!$F$8&lt;&gt;"",'Your debts'!$F$7&lt;&gt;"",'Your debts'!$F$8&lt;'Your debts'!$F$7),R167,0)+IF(AND('Your debts'!$F$9&lt;&gt;"",'Your debts'!$F$7&lt;&gt;"",'Your debts'!$F$9&lt;'Your debts'!$F$7),W167,0)+IF(AND('Your debts'!$F$10&lt;&gt;"",'Your debts'!$F$7&lt;&gt;"",'Your debts'!$F$10&lt;'Your debts'!$F$7),AB167,0)+IF(AND('Your debts'!$F$11&lt;&gt;"",'Your debts'!$F$7&lt;&gt;"",'Your debts'!$F$11&lt;'Your debts'!$F$7),AG167,0)+IF(AND('Your debts'!$F$12&lt;&gt;"",'Your debts'!$F$7&lt;&gt;"",'Your debts'!$F$12&lt;'Your debts'!$F$7),AL167,0)+IF(AND('Your debts'!$F$13&lt;&gt;"",'Your debts'!$F$7&lt;&gt;"",'Your debts'!$F$13&lt;'Your debts'!$F$7),AQ167,0)+IF(AND('Your debts'!$F$14&lt;&gt;"",'Your debts'!$F$7&lt;&gt;"",'Your debts'!$F$14&lt;'Your debts'!$F$7),AV167,0)+IF(AND('Your debts'!$F$15&lt;&gt;"",'Your debts'!$F$7&lt;&gt;"",'Your debts'!$F$15&lt;'Your debts'!$F$7),BA167,0)))))</f>
        <v/>
      </c>
      <c r="O167" s="33">
        <f>M167-N167</f>
        <v/>
      </c>
      <c r="P167" s="33">
        <f>IF(T166&lt;=0,0,ROUND(T166*(1+'Your debts'!$D$8/1200),2))</f>
        <v/>
      </c>
      <c r="Q167" s="33">
        <f>IF(P167&lt;=0,0,MIN('Your debts'!$E$8,P167))</f>
        <v/>
      </c>
      <c r="R167" s="33">
        <f>P167-Q167</f>
        <v/>
      </c>
      <c r="S167" s="33">
        <f>IF('Your debts'!$F$8="",0,MIN(R167,MAX(0,MAX(0,'Your debts'!$C$19-(G167+L167+Q167+V167+AA167+AF167+AK167+AP167+AU167+AZ167))-(IF(AND('Your debts'!$F$6&lt;&gt;"",'Your debts'!$F$8&lt;&gt;"",'Your debts'!$F$6&lt;'Your debts'!$F$8),H167,0)+IF(AND('Your debts'!$F$7&lt;&gt;"",'Your debts'!$F$8&lt;&gt;"",'Your debts'!$F$7&lt;'Your debts'!$F$8),M167,0)+IF(AND('Your debts'!$F$9&lt;&gt;"",'Your debts'!$F$8&lt;&gt;"",'Your debts'!$F$9&lt;'Your debts'!$F$8),W167,0)+IF(AND('Your debts'!$F$10&lt;&gt;"",'Your debts'!$F$8&lt;&gt;"",'Your debts'!$F$10&lt;'Your debts'!$F$8),AB167,0)+IF(AND('Your debts'!$F$11&lt;&gt;"",'Your debts'!$F$8&lt;&gt;"",'Your debts'!$F$11&lt;'Your debts'!$F$8),AG167,0)+IF(AND('Your debts'!$F$12&lt;&gt;"",'Your debts'!$F$8&lt;&gt;"",'Your debts'!$F$12&lt;'Your debts'!$F$8),AL167,0)+IF(AND('Your debts'!$F$13&lt;&gt;"",'Your debts'!$F$8&lt;&gt;"",'Your debts'!$F$13&lt;'Your debts'!$F$8),AQ167,0)+IF(AND('Your debts'!$F$14&lt;&gt;"",'Your debts'!$F$8&lt;&gt;"",'Your debts'!$F$14&lt;'Your debts'!$F$8),AV167,0)+IF(AND('Your debts'!$F$15&lt;&gt;"",'Your debts'!$F$8&lt;&gt;"",'Your debts'!$F$15&lt;'Your debts'!$F$8),BA167,0)))))</f>
        <v/>
      </c>
      <c r="T167" s="33">
        <f>R167-S167</f>
        <v/>
      </c>
      <c r="U167" s="33">
        <f>IF(Y166&lt;=0,0,ROUND(Y166*(1+'Your debts'!$D$9/1200),2))</f>
        <v/>
      </c>
      <c r="V167" s="33">
        <f>IF(U167&lt;=0,0,MIN('Your debts'!$E$9,U167))</f>
        <v/>
      </c>
      <c r="W167" s="33">
        <f>U167-V167</f>
        <v/>
      </c>
      <c r="X167" s="33">
        <f>IF('Your debts'!$F$9="",0,MIN(W167,MAX(0,MAX(0,'Your debts'!$C$19-(G167+L167+Q167+V167+AA167+AF167+AK167+AP167+AU167+AZ167))-(IF(AND('Your debts'!$F$6&lt;&gt;"",'Your debts'!$F$9&lt;&gt;"",'Your debts'!$F$6&lt;'Your debts'!$F$9),H167,0)+IF(AND('Your debts'!$F$7&lt;&gt;"",'Your debts'!$F$9&lt;&gt;"",'Your debts'!$F$7&lt;'Your debts'!$F$9),M167,0)+IF(AND('Your debts'!$F$8&lt;&gt;"",'Your debts'!$F$9&lt;&gt;"",'Your debts'!$F$8&lt;'Your debts'!$F$9),R167,0)+IF(AND('Your debts'!$F$10&lt;&gt;"",'Your debts'!$F$9&lt;&gt;"",'Your debts'!$F$10&lt;'Your debts'!$F$9),AB167,0)+IF(AND('Your debts'!$F$11&lt;&gt;"",'Your debts'!$F$9&lt;&gt;"",'Your debts'!$F$11&lt;'Your debts'!$F$9),AG167,0)+IF(AND('Your debts'!$F$12&lt;&gt;"",'Your debts'!$F$9&lt;&gt;"",'Your debts'!$F$12&lt;'Your debts'!$F$9),AL167,0)+IF(AND('Your debts'!$F$13&lt;&gt;"",'Your debts'!$F$9&lt;&gt;"",'Your debts'!$F$13&lt;'Your debts'!$F$9),AQ167,0)+IF(AND('Your debts'!$F$14&lt;&gt;"",'Your debts'!$F$9&lt;&gt;"",'Your debts'!$F$14&lt;'Your debts'!$F$9),AV167,0)+IF(AND('Your debts'!$F$15&lt;&gt;"",'Your debts'!$F$9&lt;&gt;"",'Your debts'!$F$15&lt;'Your debts'!$F$9),BA167,0)))))</f>
        <v/>
      </c>
      <c r="Y167" s="33">
        <f>W167-X167</f>
        <v/>
      </c>
      <c r="Z167" s="33">
        <f>IF(AD166&lt;=0,0,ROUND(AD166*(1+'Your debts'!$D$10/1200),2))</f>
        <v/>
      </c>
      <c r="AA167" s="33">
        <f>IF(Z167&lt;=0,0,MIN('Your debts'!$E$10,Z167))</f>
        <v/>
      </c>
      <c r="AB167" s="33">
        <f>Z167-AA167</f>
        <v/>
      </c>
      <c r="AC167" s="33">
        <f>IF('Your debts'!$F$10="",0,MIN(AB167,MAX(0,MAX(0,'Your debts'!$C$19-(G167+L167+Q167+V167+AA167+AF167+AK167+AP167+AU167+AZ167))-(IF(AND('Your debts'!$F$6&lt;&gt;"",'Your debts'!$F$10&lt;&gt;"",'Your debts'!$F$6&lt;'Your debts'!$F$10),H167,0)+IF(AND('Your debts'!$F$7&lt;&gt;"",'Your debts'!$F$10&lt;&gt;"",'Your debts'!$F$7&lt;'Your debts'!$F$10),M167,0)+IF(AND('Your debts'!$F$8&lt;&gt;"",'Your debts'!$F$10&lt;&gt;"",'Your debts'!$F$8&lt;'Your debts'!$F$10),R167,0)+IF(AND('Your debts'!$F$9&lt;&gt;"",'Your debts'!$F$10&lt;&gt;"",'Your debts'!$F$9&lt;'Your debts'!$F$10),W167,0)+IF(AND('Your debts'!$F$11&lt;&gt;"",'Your debts'!$F$10&lt;&gt;"",'Your debts'!$F$11&lt;'Your debts'!$F$10),AG167,0)+IF(AND('Your debts'!$F$12&lt;&gt;"",'Your debts'!$F$10&lt;&gt;"",'Your debts'!$F$12&lt;'Your debts'!$F$10),AL167,0)+IF(AND('Your debts'!$F$13&lt;&gt;"",'Your debts'!$F$10&lt;&gt;"",'Your debts'!$F$13&lt;'Your debts'!$F$10),AQ167,0)+IF(AND('Your debts'!$F$14&lt;&gt;"",'Your debts'!$F$10&lt;&gt;"",'Your debts'!$F$14&lt;'Your debts'!$F$10),AV167,0)+IF(AND('Your debts'!$F$15&lt;&gt;"",'Your debts'!$F$10&lt;&gt;"",'Your debts'!$F$15&lt;'Your debts'!$F$10),BA167,0)))))</f>
        <v/>
      </c>
      <c r="AD167" s="33">
        <f>AB167-AC167</f>
        <v/>
      </c>
      <c r="AE167" s="33">
        <f>IF(AI166&lt;=0,0,ROUND(AI166*(1+'Your debts'!$D$11/1200),2))</f>
        <v/>
      </c>
      <c r="AF167" s="33">
        <f>IF(AE167&lt;=0,0,MIN('Your debts'!$E$11,AE167))</f>
        <v/>
      </c>
      <c r="AG167" s="33">
        <f>AE167-AF167</f>
        <v/>
      </c>
      <c r="AH167" s="33">
        <f>IF('Your debts'!$F$11="",0,MIN(AG167,MAX(0,MAX(0,'Your debts'!$C$19-(G167+L167+Q167+V167+AA167+AF167+AK167+AP167+AU167+AZ167))-(IF(AND('Your debts'!$F$6&lt;&gt;"",'Your debts'!$F$11&lt;&gt;"",'Your debts'!$F$6&lt;'Your debts'!$F$11),H167,0)+IF(AND('Your debts'!$F$7&lt;&gt;"",'Your debts'!$F$11&lt;&gt;"",'Your debts'!$F$7&lt;'Your debts'!$F$11),M167,0)+IF(AND('Your debts'!$F$8&lt;&gt;"",'Your debts'!$F$11&lt;&gt;"",'Your debts'!$F$8&lt;'Your debts'!$F$11),R167,0)+IF(AND('Your debts'!$F$9&lt;&gt;"",'Your debts'!$F$11&lt;&gt;"",'Your debts'!$F$9&lt;'Your debts'!$F$11),W167,0)+IF(AND('Your debts'!$F$10&lt;&gt;"",'Your debts'!$F$11&lt;&gt;"",'Your debts'!$F$10&lt;'Your debts'!$F$11),AB167,0)+IF(AND('Your debts'!$F$12&lt;&gt;"",'Your debts'!$F$11&lt;&gt;"",'Your debts'!$F$12&lt;'Your debts'!$F$11),AL167,0)+IF(AND('Your debts'!$F$13&lt;&gt;"",'Your debts'!$F$11&lt;&gt;"",'Your debts'!$F$13&lt;'Your debts'!$F$11),AQ167,0)+IF(AND('Your debts'!$F$14&lt;&gt;"",'Your debts'!$F$11&lt;&gt;"",'Your debts'!$F$14&lt;'Your debts'!$F$11),AV167,0)+IF(AND('Your debts'!$F$15&lt;&gt;"",'Your debts'!$F$11&lt;&gt;"",'Your debts'!$F$15&lt;'Your debts'!$F$11),BA167,0)))))</f>
        <v/>
      </c>
      <c r="AI167" s="33">
        <f>AG167-AH167</f>
        <v/>
      </c>
      <c r="AJ167" s="33">
        <f>IF(AN166&lt;=0,0,ROUND(AN166*(1+'Your debts'!$D$12/1200),2))</f>
        <v/>
      </c>
      <c r="AK167" s="33">
        <f>IF(AJ167&lt;=0,0,MIN('Your debts'!$E$12,AJ167))</f>
        <v/>
      </c>
      <c r="AL167" s="33">
        <f>AJ167-AK167</f>
        <v/>
      </c>
      <c r="AM167" s="33">
        <f>IF('Your debts'!$F$12="",0,MIN(AL167,MAX(0,MAX(0,'Your debts'!$C$19-(G167+L167+Q167+V167+AA167+AF167+AK167+AP167+AU167+AZ167))-(IF(AND('Your debts'!$F$6&lt;&gt;"",'Your debts'!$F$12&lt;&gt;"",'Your debts'!$F$6&lt;'Your debts'!$F$12),H167,0)+IF(AND('Your debts'!$F$7&lt;&gt;"",'Your debts'!$F$12&lt;&gt;"",'Your debts'!$F$7&lt;'Your debts'!$F$12),M167,0)+IF(AND('Your debts'!$F$8&lt;&gt;"",'Your debts'!$F$12&lt;&gt;"",'Your debts'!$F$8&lt;'Your debts'!$F$12),R167,0)+IF(AND('Your debts'!$F$9&lt;&gt;"",'Your debts'!$F$12&lt;&gt;"",'Your debts'!$F$9&lt;'Your debts'!$F$12),W167,0)+IF(AND('Your debts'!$F$10&lt;&gt;"",'Your debts'!$F$12&lt;&gt;"",'Your debts'!$F$10&lt;'Your debts'!$F$12),AB167,0)+IF(AND('Your debts'!$F$11&lt;&gt;"",'Your debts'!$F$12&lt;&gt;"",'Your debts'!$F$11&lt;'Your debts'!$F$12),AG167,0)+IF(AND('Your debts'!$F$13&lt;&gt;"",'Your debts'!$F$12&lt;&gt;"",'Your debts'!$F$13&lt;'Your debts'!$F$12),AQ167,0)+IF(AND('Your debts'!$F$14&lt;&gt;"",'Your debts'!$F$12&lt;&gt;"",'Your debts'!$F$14&lt;'Your debts'!$F$12),AV167,0)+IF(AND('Your debts'!$F$15&lt;&gt;"",'Your debts'!$F$12&lt;&gt;"",'Your debts'!$F$15&lt;'Your debts'!$F$12),BA167,0)))))</f>
        <v/>
      </c>
      <c r="AN167" s="33">
        <f>AL167-AM167</f>
        <v/>
      </c>
      <c r="AO167" s="33">
        <f>IF(AS166&lt;=0,0,ROUND(AS166*(1+'Your debts'!$D$13/1200),2))</f>
        <v/>
      </c>
      <c r="AP167" s="33">
        <f>IF(AO167&lt;=0,0,MIN('Your debts'!$E$13,AO167))</f>
        <v/>
      </c>
      <c r="AQ167" s="33">
        <f>AO167-AP167</f>
        <v/>
      </c>
      <c r="AR167" s="33">
        <f>IF('Your debts'!$F$13="",0,MIN(AQ167,MAX(0,MAX(0,'Your debts'!$C$19-(G167+L167+Q167+V167+AA167+AF167+AK167+AP167+AU167+AZ167))-(IF(AND('Your debts'!$F$6&lt;&gt;"",'Your debts'!$F$13&lt;&gt;"",'Your debts'!$F$6&lt;'Your debts'!$F$13),H167,0)+IF(AND('Your debts'!$F$7&lt;&gt;"",'Your debts'!$F$13&lt;&gt;"",'Your debts'!$F$7&lt;'Your debts'!$F$13),M167,0)+IF(AND('Your debts'!$F$8&lt;&gt;"",'Your debts'!$F$13&lt;&gt;"",'Your debts'!$F$8&lt;'Your debts'!$F$13),R167,0)+IF(AND('Your debts'!$F$9&lt;&gt;"",'Your debts'!$F$13&lt;&gt;"",'Your debts'!$F$9&lt;'Your debts'!$F$13),W167,0)+IF(AND('Your debts'!$F$10&lt;&gt;"",'Your debts'!$F$13&lt;&gt;"",'Your debts'!$F$10&lt;'Your debts'!$F$13),AB167,0)+IF(AND('Your debts'!$F$11&lt;&gt;"",'Your debts'!$F$13&lt;&gt;"",'Your debts'!$F$11&lt;'Your debts'!$F$13),AG167,0)+IF(AND('Your debts'!$F$12&lt;&gt;"",'Your debts'!$F$13&lt;&gt;"",'Your debts'!$F$12&lt;'Your debts'!$F$13),AL167,0)+IF(AND('Your debts'!$F$14&lt;&gt;"",'Your debts'!$F$13&lt;&gt;"",'Your debts'!$F$14&lt;'Your debts'!$F$13),AV167,0)+IF(AND('Your debts'!$F$15&lt;&gt;"",'Your debts'!$F$13&lt;&gt;"",'Your debts'!$F$15&lt;'Your debts'!$F$13),BA167,0)))))</f>
        <v/>
      </c>
      <c r="AS167" s="33">
        <f>AQ167-AR167</f>
        <v/>
      </c>
      <c r="AT167" s="33">
        <f>IF(AX166&lt;=0,0,ROUND(AX166*(1+'Your debts'!$D$14/1200),2))</f>
        <v/>
      </c>
      <c r="AU167" s="33">
        <f>IF(AT167&lt;=0,0,MIN('Your debts'!$E$14,AT167))</f>
        <v/>
      </c>
      <c r="AV167" s="33">
        <f>AT167-AU167</f>
        <v/>
      </c>
      <c r="AW167" s="33">
        <f>IF('Your debts'!$F$14="",0,MIN(AV167,MAX(0,MAX(0,'Your debts'!$C$19-(G167+L167+Q167+V167+AA167+AF167+AK167+AP167+AU167+AZ167))-(IF(AND('Your debts'!$F$6&lt;&gt;"",'Your debts'!$F$14&lt;&gt;"",'Your debts'!$F$6&lt;'Your debts'!$F$14),H167,0)+IF(AND('Your debts'!$F$7&lt;&gt;"",'Your debts'!$F$14&lt;&gt;"",'Your debts'!$F$7&lt;'Your debts'!$F$14),M167,0)+IF(AND('Your debts'!$F$8&lt;&gt;"",'Your debts'!$F$14&lt;&gt;"",'Your debts'!$F$8&lt;'Your debts'!$F$14),R167,0)+IF(AND('Your debts'!$F$9&lt;&gt;"",'Your debts'!$F$14&lt;&gt;"",'Your debts'!$F$9&lt;'Your debts'!$F$14),W167,0)+IF(AND('Your debts'!$F$10&lt;&gt;"",'Your debts'!$F$14&lt;&gt;"",'Your debts'!$F$10&lt;'Your debts'!$F$14),AB167,0)+IF(AND('Your debts'!$F$11&lt;&gt;"",'Your debts'!$F$14&lt;&gt;"",'Your debts'!$F$11&lt;'Your debts'!$F$14),AG167,0)+IF(AND('Your debts'!$F$12&lt;&gt;"",'Your debts'!$F$14&lt;&gt;"",'Your debts'!$F$12&lt;'Your debts'!$F$14),AL167,0)+IF(AND('Your debts'!$F$13&lt;&gt;"",'Your debts'!$F$14&lt;&gt;"",'Your debts'!$F$13&lt;'Your debts'!$F$14),AQ167,0)+IF(AND('Your debts'!$F$15&lt;&gt;"",'Your debts'!$F$14&lt;&gt;"",'Your debts'!$F$15&lt;'Your debts'!$F$14),BA167,0)))))</f>
        <v/>
      </c>
      <c r="AX167" s="33">
        <f>AV167-AW167</f>
        <v/>
      </c>
      <c r="AY167" s="33">
        <f>IF(BC166&lt;=0,0,ROUND(BC166*(1+'Your debts'!$D$15/1200),2))</f>
        <v/>
      </c>
      <c r="AZ167" s="33">
        <f>IF(AY167&lt;=0,0,MIN('Your debts'!$E$15,AY167))</f>
        <v/>
      </c>
      <c r="BA167" s="33">
        <f>AY167-AZ167</f>
        <v/>
      </c>
      <c r="BB167" s="33">
        <f>IF('Your debts'!$F$15="",0,MIN(BA167,MAX(0,MAX(0,'Your debts'!$C$19-(G167+L167+Q167+V167+AA167+AF167+AK167+AP167+AU167+AZ167))-(IF(AND('Your debts'!$F$6&lt;&gt;"",'Your debts'!$F$15&lt;&gt;"",'Your debts'!$F$6&lt;'Your debts'!$F$15),H167,0)+IF(AND('Your debts'!$F$7&lt;&gt;"",'Your debts'!$F$15&lt;&gt;"",'Your debts'!$F$7&lt;'Your debts'!$F$15),M167,0)+IF(AND('Your debts'!$F$8&lt;&gt;"",'Your debts'!$F$15&lt;&gt;"",'Your debts'!$F$8&lt;'Your debts'!$F$15),R167,0)+IF(AND('Your debts'!$F$9&lt;&gt;"",'Your debts'!$F$15&lt;&gt;"",'Your debts'!$F$9&lt;'Your debts'!$F$15),W167,0)+IF(AND('Your debts'!$F$10&lt;&gt;"",'Your debts'!$F$15&lt;&gt;"",'Your debts'!$F$10&lt;'Your debts'!$F$15),AB167,0)+IF(AND('Your debts'!$F$11&lt;&gt;"",'Your debts'!$F$15&lt;&gt;"",'Your debts'!$F$11&lt;'Your debts'!$F$15),AG167,0)+IF(AND('Your debts'!$F$12&lt;&gt;"",'Your debts'!$F$15&lt;&gt;"",'Your debts'!$F$12&lt;'Your debts'!$F$15),AL167,0)+IF(AND('Your debts'!$F$13&lt;&gt;"",'Your debts'!$F$15&lt;&gt;"",'Your debts'!$F$13&lt;'Your debts'!$F$15),AQ167,0)+IF(AND('Your debts'!$F$14&lt;&gt;"",'Your debts'!$F$15&lt;&gt;"",'Your debts'!$F$14&lt;'Your debts'!$F$15),AV167,0)))))</f>
        <v/>
      </c>
      <c r="BC167" s="33">
        <f>BA167-BB167</f>
        <v/>
      </c>
    </row>
    <row r="168">
      <c r="A168" s="30" t="n">
        <v>153</v>
      </c>
      <c r="B168" s="31">
        <f>EDATE($B$15,153)</f>
        <v/>
      </c>
      <c r="C168" s="32">
        <f>IF(J167&lt;=0,0,F168-J167)+IF(O167&lt;=0,0,K168-O167)+IF(T167&lt;=0,0,P168-T167)+IF(Y167&lt;=0,0,U168-Y167)+IF(AD167&lt;=0,0,Z168-AD167)+IF(AI167&lt;=0,0,AE168-AI167)+IF(AN167&lt;=0,0,AJ168-AN167)+IF(AS167&lt;=0,0,AO168-AS167)+IF(AX167&lt;=0,0,AT168-AX167)+IF(BC167&lt;=0,0,AY168-BC167)</f>
        <v/>
      </c>
      <c r="D168" s="32">
        <f>G168+I168+L168+N168+Q168+S168+V168+X168+AA168+AC168+AF168+AH168+AK168+AM168+AP168+AR168+AU168+AW168+AZ168+BB168</f>
        <v/>
      </c>
      <c r="E168" s="32">
        <f>J168+O168+T168+Y168+AD168+AI168+AN168+AS168+AX168+BC168</f>
        <v/>
      </c>
      <c r="F168" s="33">
        <f>IF(J167&lt;=0,0,ROUND(J167*(1+'Your debts'!$D$6/1200),2))</f>
        <v/>
      </c>
      <c r="G168" s="33">
        <f>IF(F168&lt;=0,0,MIN('Your debts'!$E$6,F168))</f>
        <v/>
      </c>
      <c r="H168" s="33">
        <f>F168-G168</f>
        <v/>
      </c>
      <c r="I168" s="33">
        <f>IF('Your debts'!$F$6="",0,MIN(H168,MAX(0,MAX(0,'Your debts'!$C$19-(G168+L168+Q168+V168+AA168+AF168+AK168+AP168+AU168+AZ168))-(IF(AND('Your debts'!$F$7&lt;&gt;"",'Your debts'!$F$6&lt;&gt;"",'Your debts'!$F$7&lt;'Your debts'!$F$6),M168,0)+IF(AND('Your debts'!$F$8&lt;&gt;"",'Your debts'!$F$6&lt;&gt;"",'Your debts'!$F$8&lt;'Your debts'!$F$6),R168,0)+IF(AND('Your debts'!$F$9&lt;&gt;"",'Your debts'!$F$6&lt;&gt;"",'Your debts'!$F$9&lt;'Your debts'!$F$6),W168,0)+IF(AND('Your debts'!$F$10&lt;&gt;"",'Your debts'!$F$6&lt;&gt;"",'Your debts'!$F$10&lt;'Your debts'!$F$6),AB168,0)+IF(AND('Your debts'!$F$11&lt;&gt;"",'Your debts'!$F$6&lt;&gt;"",'Your debts'!$F$11&lt;'Your debts'!$F$6),AG168,0)+IF(AND('Your debts'!$F$12&lt;&gt;"",'Your debts'!$F$6&lt;&gt;"",'Your debts'!$F$12&lt;'Your debts'!$F$6),AL168,0)+IF(AND('Your debts'!$F$13&lt;&gt;"",'Your debts'!$F$6&lt;&gt;"",'Your debts'!$F$13&lt;'Your debts'!$F$6),AQ168,0)+IF(AND('Your debts'!$F$14&lt;&gt;"",'Your debts'!$F$6&lt;&gt;"",'Your debts'!$F$14&lt;'Your debts'!$F$6),AV168,0)+IF(AND('Your debts'!$F$15&lt;&gt;"",'Your debts'!$F$6&lt;&gt;"",'Your debts'!$F$15&lt;'Your debts'!$F$6),BA168,0)))))</f>
        <v/>
      </c>
      <c r="J168" s="33">
        <f>H168-I168</f>
        <v/>
      </c>
      <c r="K168" s="33">
        <f>IF(O167&lt;=0,0,ROUND(O167*(1+'Your debts'!$D$7/1200),2))</f>
        <v/>
      </c>
      <c r="L168" s="33">
        <f>IF(K168&lt;=0,0,MIN('Your debts'!$E$7,K168))</f>
        <v/>
      </c>
      <c r="M168" s="33">
        <f>K168-L168</f>
        <v/>
      </c>
      <c r="N168" s="33">
        <f>IF('Your debts'!$F$7="",0,MIN(M168,MAX(0,MAX(0,'Your debts'!$C$19-(G168+L168+Q168+V168+AA168+AF168+AK168+AP168+AU168+AZ168))-(IF(AND('Your debts'!$F$6&lt;&gt;"",'Your debts'!$F$7&lt;&gt;"",'Your debts'!$F$6&lt;'Your debts'!$F$7),H168,0)+IF(AND('Your debts'!$F$8&lt;&gt;"",'Your debts'!$F$7&lt;&gt;"",'Your debts'!$F$8&lt;'Your debts'!$F$7),R168,0)+IF(AND('Your debts'!$F$9&lt;&gt;"",'Your debts'!$F$7&lt;&gt;"",'Your debts'!$F$9&lt;'Your debts'!$F$7),W168,0)+IF(AND('Your debts'!$F$10&lt;&gt;"",'Your debts'!$F$7&lt;&gt;"",'Your debts'!$F$10&lt;'Your debts'!$F$7),AB168,0)+IF(AND('Your debts'!$F$11&lt;&gt;"",'Your debts'!$F$7&lt;&gt;"",'Your debts'!$F$11&lt;'Your debts'!$F$7),AG168,0)+IF(AND('Your debts'!$F$12&lt;&gt;"",'Your debts'!$F$7&lt;&gt;"",'Your debts'!$F$12&lt;'Your debts'!$F$7),AL168,0)+IF(AND('Your debts'!$F$13&lt;&gt;"",'Your debts'!$F$7&lt;&gt;"",'Your debts'!$F$13&lt;'Your debts'!$F$7),AQ168,0)+IF(AND('Your debts'!$F$14&lt;&gt;"",'Your debts'!$F$7&lt;&gt;"",'Your debts'!$F$14&lt;'Your debts'!$F$7),AV168,0)+IF(AND('Your debts'!$F$15&lt;&gt;"",'Your debts'!$F$7&lt;&gt;"",'Your debts'!$F$15&lt;'Your debts'!$F$7),BA168,0)))))</f>
        <v/>
      </c>
      <c r="O168" s="33">
        <f>M168-N168</f>
        <v/>
      </c>
      <c r="P168" s="33">
        <f>IF(T167&lt;=0,0,ROUND(T167*(1+'Your debts'!$D$8/1200),2))</f>
        <v/>
      </c>
      <c r="Q168" s="33">
        <f>IF(P168&lt;=0,0,MIN('Your debts'!$E$8,P168))</f>
        <v/>
      </c>
      <c r="R168" s="33">
        <f>P168-Q168</f>
        <v/>
      </c>
      <c r="S168" s="33">
        <f>IF('Your debts'!$F$8="",0,MIN(R168,MAX(0,MAX(0,'Your debts'!$C$19-(G168+L168+Q168+V168+AA168+AF168+AK168+AP168+AU168+AZ168))-(IF(AND('Your debts'!$F$6&lt;&gt;"",'Your debts'!$F$8&lt;&gt;"",'Your debts'!$F$6&lt;'Your debts'!$F$8),H168,0)+IF(AND('Your debts'!$F$7&lt;&gt;"",'Your debts'!$F$8&lt;&gt;"",'Your debts'!$F$7&lt;'Your debts'!$F$8),M168,0)+IF(AND('Your debts'!$F$9&lt;&gt;"",'Your debts'!$F$8&lt;&gt;"",'Your debts'!$F$9&lt;'Your debts'!$F$8),W168,0)+IF(AND('Your debts'!$F$10&lt;&gt;"",'Your debts'!$F$8&lt;&gt;"",'Your debts'!$F$10&lt;'Your debts'!$F$8),AB168,0)+IF(AND('Your debts'!$F$11&lt;&gt;"",'Your debts'!$F$8&lt;&gt;"",'Your debts'!$F$11&lt;'Your debts'!$F$8),AG168,0)+IF(AND('Your debts'!$F$12&lt;&gt;"",'Your debts'!$F$8&lt;&gt;"",'Your debts'!$F$12&lt;'Your debts'!$F$8),AL168,0)+IF(AND('Your debts'!$F$13&lt;&gt;"",'Your debts'!$F$8&lt;&gt;"",'Your debts'!$F$13&lt;'Your debts'!$F$8),AQ168,0)+IF(AND('Your debts'!$F$14&lt;&gt;"",'Your debts'!$F$8&lt;&gt;"",'Your debts'!$F$14&lt;'Your debts'!$F$8),AV168,0)+IF(AND('Your debts'!$F$15&lt;&gt;"",'Your debts'!$F$8&lt;&gt;"",'Your debts'!$F$15&lt;'Your debts'!$F$8),BA168,0)))))</f>
        <v/>
      </c>
      <c r="T168" s="33">
        <f>R168-S168</f>
        <v/>
      </c>
      <c r="U168" s="33">
        <f>IF(Y167&lt;=0,0,ROUND(Y167*(1+'Your debts'!$D$9/1200),2))</f>
        <v/>
      </c>
      <c r="V168" s="33">
        <f>IF(U168&lt;=0,0,MIN('Your debts'!$E$9,U168))</f>
        <v/>
      </c>
      <c r="W168" s="33">
        <f>U168-V168</f>
        <v/>
      </c>
      <c r="X168" s="33">
        <f>IF('Your debts'!$F$9="",0,MIN(W168,MAX(0,MAX(0,'Your debts'!$C$19-(G168+L168+Q168+V168+AA168+AF168+AK168+AP168+AU168+AZ168))-(IF(AND('Your debts'!$F$6&lt;&gt;"",'Your debts'!$F$9&lt;&gt;"",'Your debts'!$F$6&lt;'Your debts'!$F$9),H168,0)+IF(AND('Your debts'!$F$7&lt;&gt;"",'Your debts'!$F$9&lt;&gt;"",'Your debts'!$F$7&lt;'Your debts'!$F$9),M168,0)+IF(AND('Your debts'!$F$8&lt;&gt;"",'Your debts'!$F$9&lt;&gt;"",'Your debts'!$F$8&lt;'Your debts'!$F$9),R168,0)+IF(AND('Your debts'!$F$10&lt;&gt;"",'Your debts'!$F$9&lt;&gt;"",'Your debts'!$F$10&lt;'Your debts'!$F$9),AB168,0)+IF(AND('Your debts'!$F$11&lt;&gt;"",'Your debts'!$F$9&lt;&gt;"",'Your debts'!$F$11&lt;'Your debts'!$F$9),AG168,0)+IF(AND('Your debts'!$F$12&lt;&gt;"",'Your debts'!$F$9&lt;&gt;"",'Your debts'!$F$12&lt;'Your debts'!$F$9),AL168,0)+IF(AND('Your debts'!$F$13&lt;&gt;"",'Your debts'!$F$9&lt;&gt;"",'Your debts'!$F$13&lt;'Your debts'!$F$9),AQ168,0)+IF(AND('Your debts'!$F$14&lt;&gt;"",'Your debts'!$F$9&lt;&gt;"",'Your debts'!$F$14&lt;'Your debts'!$F$9),AV168,0)+IF(AND('Your debts'!$F$15&lt;&gt;"",'Your debts'!$F$9&lt;&gt;"",'Your debts'!$F$15&lt;'Your debts'!$F$9),BA168,0)))))</f>
        <v/>
      </c>
      <c r="Y168" s="33">
        <f>W168-X168</f>
        <v/>
      </c>
      <c r="Z168" s="33">
        <f>IF(AD167&lt;=0,0,ROUND(AD167*(1+'Your debts'!$D$10/1200),2))</f>
        <v/>
      </c>
      <c r="AA168" s="33">
        <f>IF(Z168&lt;=0,0,MIN('Your debts'!$E$10,Z168))</f>
        <v/>
      </c>
      <c r="AB168" s="33">
        <f>Z168-AA168</f>
        <v/>
      </c>
      <c r="AC168" s="33">
        <f>IF('Your debts'!$F$10="",0,MIN(AB168,MAX(0,MAX(0,'Your debts'!$C$19-(G168+L168+Q168+V168+AA168+AF168+AK168+AP168+AU168+AZ168))-(IF(AND('Your debts'!$F$6&lt;&gt;"",'Your debts'!$F$10&lt;&gt;"",'Your debts'!$F$6&lt;'Your debts'!$F$10),H168,0)+IF(AND('Your debts'!$F$7&lt;&gt;"",'Your debts'!$F$10&lt;&gt;"",'Your debts'!$F$7&lt;'Your debts'!$F$10),M168,0)+IF(AND('Your debts'!$F$8&lt;&gt;"",'Your debts'!$F$10&lt;&gt;"",'Your debts'!$F$8&lt;'Your debts'!$F$10),R168,0)+IF(AND('Your debts'!$F$9&lt;&gt;"",'Your debts'!$F$10&lt;&gt;"",'Your debts'!$F$9&lt;'Your debts'!$F$10),W168,0)+IF(AND('Your debts'!$F$11&lt;&gt;"",'Your debts'!$F$10&lt;&gt;"",'Your debts'!$F$11&lt;'Your debts'!$F$10),AG168,0)+IF(AND('Your debts'!$F$12&lt;&gt;"",'Your debts'!$F$10&lt;&gt;"",'Your debts'!$F$12&lt;'Your debts'!$F$10),AL168,0)+IF(AND('Your debts'!$F$13&lt;&gt;"",'Your debts'!$F$10&lt;&gt;"",'Your debts'!$F$13&lt;'Your debts'!$F$10),AQ168,0)+IF(AND('Your debts'!$F$14&lt;&gt;"",'Your debts'!$F$10&lt;&gt;"",'Your debts'!$F$14&lt;'Your debts'!$F$10),AV168,0)+IF(AND('Your debts'!$F$15&lt;&gt;"",'Your debts'!$F$10&lt;&gt;"",'Your debts'!$F$15&lt;'Your debts'!$F$10),BA168,0)))))</f>
        <v/>
      </c>
      <c r="AD168" s="33">
        <f>AB168-AC168</f>
        <v/>
      </c>
      <c r="AE168" s="33">
        <f>IF(AI167&lt;=0,0,ROUND(AI167*(1+'Your debts'!$D$11/1200),2))</f>
        <v/>
      </c>
      <c r="AF168" s="33">
        <f>IF(AE168&lt;=0,0,MIN('Your debts'!$E$11,AE168))</f>
        <v/>
      </c>
      <c r="AG168" s="33">
        <f>AE168-AF168</f>
        <v/>
      </c>
      <c r="AH168" s="33">
        <f>IF('Your debts'!$F$11="",0,MIN(AG168,MAX(0,MAX(0,'Your debts'!$C$19-(G168+L168+Q168+V168+AA168+AF168+AK168+AP168+AU168+AZ168))-(IF(AND('Your debts'!$F$6&lt;&gt;"",'Your debts'!$F$11&lt;&gt;"",'Your debts'!$F$6&lt;'Your debts'!$F$11),H168,0)+IF(AND('Your debts'!$F$7&lt;&gt;"",'Your debts'!$F$11&lt;&gt;"",'Your debts'!$F$7&lt;'Your debts'!$F$11),M168,0)+IF(AND('Your debts'!$F$8&lt;&gt;"",'Your debts'!$F$11&lt;&gt;"",'Your debts'!$F$8&lt;'Your debts'!$F$11),R168,0)+IF(AND('Your debts'!$F$9&lt;&gt;"",'Your debts'!$F$11&lt;&gt;"",'Your debts'!$F$9&lt;'Your debts'!$F$11),W168,0)+IF(AND('Your debts'!$F$10&lt;&gt;"",'Your debts'!$F$11&lt;&gt;"",'Your debts'!$F$10&lt;'Your debts'!$F$11),AB168,0)+IF(AND('Your debts'!$F$12&lt;&gt;"",'Your debts'!$F$11&lt;&gt;"",'Your debts'!$F$12&lt;'Your debts'!$F$11),AL168,0)+IF(AND('Your debts'!$F$13&lt;&gt;"",'Your debts'!$F$11&lt;&gt;"",'Your debts'!$F$13&lt;'Your debts'!$F$11),AQ168,0)+IF(AND('Your debts'!$F$14&lt;&gt;"",'Your debts'!$F$11&lt;&gt;"",'Your debts'!$F$14&lt;'Your debts'!$F$11),AV168,0)+IF(AND('Your debts'!$F$15&lt;&gt;"",'Your debts'!$F$11&lt;&gt;"",'Your debts'!$F$15&lt;'Your debts'!$F$11),BA168,0)))))</f>
        <v/>
      </c>
      <c r="AI168" s="33">
        <f>AG168-AH168</f>
        <v/>
      </c>
      <c r="AJ168" s="33">
        <f>IF(AN167&lt;=0,0,ROUND(AN167*(1+'Your debts'!$D$12/1200),2))</f>
        <v/>
      </c>
      <c r="AK168" s="33">
        <f>IF(AJ168&lt;=0,0,MIN('Your debts'!$E$12,AJ168))</f>
        <v/>
      </c>
      <c r="AL168" s="33">
        <f>AJ168-AK168</f>
        <v/>
      </c>
      <c r="AM168" s="33">
        <f>IF('Your debts'!$F$12="",0,MIN(AL168,MAX(0,MAX(0,'Your debts'!$C$19-(G168+L168+Q168+V168+AA168+AF168+AK168+AP168+AU168+AZ168))-(IF(AND('Your debts'!$F$6&lt;&gt;"",'Your debts'!$F$12&lt;&gt;"",'Your debts'!$F$6&lt;'Your debts'!$F$12),H168,0)+IF(AND('Your debts'!$F$7&lt;&gt;"",'Your debts'!$F$12&lt;&gt;"",'Your debts'!$F$7&lt;'Your debts'!$F$12),M168,0)+IF(AND('Your debts'!$F$8&lt;&gt;"",'Your debts'!$F$12&lt;&gt;"",'Your debts'!$F$8&lt;'Your debts'!$F$12),R168,0)+IF(AND('Your debts'!$F$9&lt;&gt;"",'Your debts'!$F$12&lt;&gt;"",'Your debts'!$F$9&lt;'Your debts'!$F$12),W168,0)+IF(AND('Your debts'!$F$10&lt;&gt;"",'Your debts'!$F$12&lt;&gt;"",'Your debts'!$F$10&lt;'Your debts'!$F$12),AB168,0)+IF(AND('Your debts'!$F$11&lt;&gt;"",'Your debts'!$F$12&lt;&gt;"",'Your debts'!$F$11&lt;'Your debts'!$F$12),AG168,0)+IF(AND('Your debts'!$F$13&lt;&gt;"",'Your debts'!$F$12&lt;&gt;"",'Your debts'!$F$13&lt;'Your debts'!$F$12),AQ168,0)+IF(AND('Your debts'!$F$14&lt;&gt;"",'Your debts'!$F$12&lt;&gt;"",'Your debts'!$F$14&lt;'Your debts'!$F$12),AV168,0)+IF(AND('Your debts'!$F$15&lt;&gt;"",'Your debts'!$F$12&lt;&gt;"",'Your debts'!$F$15&lt;'Your debts'!$F$12),BA168,0)))))</f>
        <v/>
      </c>
      <c r="AN168" s="33">
        <f>AL168-AM168</f>
        <v/>
      </c>
      <c r="AO168" s="33">
        <f>IF(AS167&lt;=0,0,ROUND(AS167*(1+'Your debts'!$D$13/1200),2))</f>
        <v/>
      </c>
      <c r="AP168" s="33">
        <f>IF(AO168&lt;=0,0,MIN('Your debts'!$E$13,AO168))</f>
        <v/>
      </c>
      <c r="AQ168" s="33">
        <f>AO168-AP168</f>
        <v/>
      </c>
      <c r="AR168" s="33">
        <f>IF('Your debts'!$F$13="",0,MIN(AQ168,MAX(0,MAX(0,'Your debts'!$C$19-(G168+L168+Q168+V168+AA168+AF168+AK168+AP168+AU168+AZ168))-(IF(AND('Your debts'!$F$6&lt;&gt;"",'Your debts'!$F$13&lt;&gt;"",'Your debts'!$F$6&lt;'Your debts'!$F$13),H168,0)+IF(AND('Your debts'!$F$7&lt;&gt;"",'Your debts'!$F$13&lt;&gt;"",'Your debts'!$F$7&lt;'Your debts'!$F$13),M168,0)+IF(AND('Your debts'!$F$8&lt;&gt;"",'Your debts'!$F$13&lt;&gt;"",'Your debts'!$F$8&lt;'Your debts'!$F$13),R168,0)+IF(AND('Your debts'!$F$9&lt;&gt;"",'Your debts'!$F$13&lt;&gt;"",'Your debts'!$F$9&lt;'Your debts'!$F$13),W168,0)+IF(AND('Your debts'!$F$10&lt;&gt;"",'Your debts'!$F$13&lt;&gt;"",'Your debts'!$F$10&lt;'Your debts'!$F$13),AB168,0)+IF(AND('Your debts'!$F$11&lt;&gt;"",'Your debts'!$F$13&lt;&gt;"",'Your debts'!$F$11&lt;'Your debts'!$F$13),AG168,0)+IF(AND('Your debts'!$F$12&lt;&gt;"",'Your debts'!$F$13&lt;&gt;"",'Your debts'!$F$12&lt;'Your debts'!$F$13),AL168,0)+IF(AND('Your debts'!$F$14&lt;&gt;"",'Your debts'!$F$13&lt;&gt;"",'Your debts'!$F$14&lt;'Your debts'!$F$13),AV168,0)+IF(AND('Your debts'!$F$15&lt;&gt;"",'Your debts'!$F$13&lt;&gt;"",'Your debts'!$F$15&lt;'Your debts'!$F$13),BA168,0)))))</f>
        <v/>
      </c>
      <c r="AS168" s="33">
        <f>AQ168-AR168</f>
        <v/>
      </c>
      <c r="AT168" s="33">
        <f>IF(AX167&lt;=0,0,ROUND(AX167*(1+'Your debts'!$D$14/1200),2))</f>
        <v/>
      </c>
      <c r="AU168" s="33">
        <f>IF(AT168&lt;=0,0,MIN('Your debts'!$E$14,AT168))</f>
        <v/>
      </c>
      <c r="AV168" s="33">
        <f>AT168-AU168</f>
        <v/>
      </c>
      <c r="AW168" s="33">
        <f>IF('Your debts'!$F$14="",0,MIN(AV168,MAX(0,MAX(0,'Your debts'!$C$19-(G168+L168+Q168+V168+AA168+AF168+AK168+AP168+AU168+AZ168))-(IF(AND('Your debts'!$F$6&lt;&gt;"",'Your debts'!$F$14&lt;&gt;"",'Your debts'!$F$6&lt;'Your debts'!$F$14),H168,0)+IF(AND('Your debts'!$F$7&lt;&gt;"",'Your debts'!$F$14&lt;&gt;"",'Your debts'!$F$7&lt;'Your debts'!$F$14),M168,0)+IF(AND('Your debts'!$F$8&lt;&gt;"",'Your debts'!$F$14&lt;&gt;"",'Your debts'!$F$8&lt;'Your debts'!$F$14),R168,0)+IF(AND('Your debts'!$F$9&lt;&gt;"",'Your debts'!$F$14&lt;&gt;"",'Your debts'!$F$9&lt;'Your debts'!$F$14),W168,0)+IF(AND('Your debts'!$F$10&lt;&gt;"",'Your debts'!$F$14&lt;&gt;"",'Your debts'!$F$10&lt;'Your debts'!$F$14),AB168,0)+IF(AND('Your debts'!$F$11&lt;&gt;"",'Your debts'!$F$14&lt;&gt;"",'Your debts'!$F$11&lt;'Your debts'!$F$14),AG168,0)+IF(AND('Your debts'!$F$12&lt;&gt;"",'Your debts'!$F$14&lt;&gt;"",'Your debts'!$F$12&lt;'Your debts'!$F$14),AL168,0)+IF(AND('Your debts'!$F$13&lt;&gt;"",'Your debts'!$F$14&lt;&gt;"",'Your debts'!$F$13&lt;'Your debts'!$F$14),AQ168,0)+IF(AND('Your debts'!$F$15&lt;&gt;"",'Your debts'!$F$14&lt;&gt;"",'Your debts'!$F$15&lt;'Your debts'!$F$14),BA168,0)))))</f>
        <v/>
      </c>
      <c r="AX168" s="33">
        <f>AV168-AW168</f>
        <v/>
      </c>
      <c r="AY168" s="33">
        <f>IF(BC167&lt;=0,0,ROUND(BC167*(1+'Your debts'!$D$15/1200),2))</f>
        <v/>
      </c>
      <c r="AZ168" s="33">
        <f>IF(AY168&lt;=0,0,MIN('Your debts'!$E$15,AY168))</f>
        <v/>
      </c>
      <c r="BA168" s="33">
        <f>AY168-AZ168</f>
        <v/>
      </c>
      <c r="BB168" s="33">
        <f>IF('Your debts'!$F$15="",0,MIN(BA168,MAX(0,MAX(0,'Your debts'!$C$19-(G168+L168+Q168+V168+AA168+AF168+AK168+AP168+AU168+AZ168))-(IF(AND('Your debts'!$F$6&lt;&gt;"",'Your debts'!$F$15&lt;&gt;"",'Your debts'!$F$6&lt;'Your debts'!$F$15),H168,0)+IF(AND('Your debts'!$F$7&lt;&gt;"",'Your debts'!$F$15&lt;&gt;"",'Your debts'!$F$7&lt;'Your debts'!$F$15),M168,0)+IF(AND('Your debts'!$F$8&lt;&gt;"",'Your debts'!$F$15&lt;&gt;"",'Your debts'!$F$8&lt;'Your debts'!$F$15),R168,0)+IF(AND('Your debts'!$F$9&lt;&gt;"",'Your debts'!$F$15&lt;&gt;"",'Your debts'!$F$9&lt;'Your debts'!$F$15),W168,0)+IF(AND('Your debts'!$F$10&lt;&gt;"",'Your debts'!$F$15&lt;&gt;"",'Your debts'!$F$10&lt;'Your debts'!$F$15),AB168,0)+IF(AND('Your debts'!$F$11&lt;&gt;"",'Your debts'!$F$15&lt;&gt;"",'Your debts'!$F$11&lt;'Your debts'!$F$15),AG168,0)+IF(AND('Your debts'!$F$12&lt;&gt;"",'Your debts'!$F$15&lt;&gt;"",'Your debts'!$F$12&lt;'Your debts'!$F$15),AL168,0)+IF(AND('Your debts'!$F$13&lt;&gt;"",'Your debts'!$F$15&lt;&gt;"",'Your debts'!$F$13&lt;'Your debts'!$F$15),AQ168,0)+IF(AND('Your debts'!$F$14&lt;&gt;"",'Your debts'!$F$15&lt;&gt;"",'Your debts'!$F$14&lt;'Your debts'!$F$15),AV168,0)))))</f>
        <v/>
      </c>
      <c r="BC168" s="33">
        <f>BA168-BB168</f>
        <v/>
      </c>
    </row>
    <row r="169">
      <c r="A169" s="30" t="n">
        <v>154</v>
      </c>
      <c r="B169" s="31">
        <f>EDATE($B$15,154)</f>
        <v/>
      </c>
      <c r="C169" s="32">
        <f>IF(J168&lt;=0,0,F169-J168)+IF(O168&lt;=0,0,K169-O168)+IF(T168&lt;=0,0,P169-T168)+IF(Y168&lt;=0,0,U169-Y168)+IF(AD168&lt;=0,0,Z169-AD168)+IF(AI168&lt;=0,0,AE169-AI168)+IF(AN168&lt;=0,0,AJ169-AN168)+IF(AS168&lt;=0,0,AO169-AS168)+IF(AX168&lt;=0,0,AT169-AX168)+IF(BC168&lt;=0,0,AY169-BC168)</f>
        <v/>
      </c>
      <c r="D169" s="32">
        <f>G169+I169+L169+N169+Q169+S169+V169+X169+AA169+AC169+AF169+AH169+AK169+AM169+AP169+AR169+AU169+AW169+AZ169+BB169</f>
        <v/>
      </c>
      <c r="E169" s="32">
        <f>J169+O169+T169+Y169+AD169+AI169+AN169+AS169+AX169+BC169</f>
        <v/>
      </c>
      <c r="F169" s="33">
        <f>IF(J168&lt;=0,0,ROUND(J168*(1+'Your debts'!$D$6/1200),2))</f>
        <v/>
      </c>
      <c r="G169" s="33">
        <f>IF(F169&lt;=0,0,MIN('Your debts'!$E$6,F169))</f>
        <v/>
      </c>
      <c r="H169" s="33">
        <f>F169-G169</f>
        <v/>
      </c>
      <c r="I169" s="33">
        <f>IF('Your debts'!$F$6="",0,MIN(H169,MAX(0,MAX(0,'Your debts'!$C$19-(G169+L169+Q169+V169+AA169+AF169+AK169+AP169+AU169+AZ169))-(IF(AND('Your debts'!$F$7&lt;&gt;"",'Your debts'!$F$6&lt;&gt;"",'Your debts'!$F$7&lt;'Your debts'!$F$6),M169,0)+IF(AND('Your debts'!$F$8&lt;&gt;"",'Your debts'!$F$6&lt;&gt;"",'Your debts'!$F$8&lt;'Your debts'!$F$6),R169,0)+IF(AND('Your debts'!$F$9&lt;&gt;"",'Your debts'!$F$6&lt;&gt;"",'Your debts'!$F$9&lt;'Your debts'!$F$6),W169,0)+IF(AND('Your debts'!$F$10&lt;&gt;"",'Your debts'!$F$6&lt;&gt;"",'Your debts'!$F$10&lt;'Your debts'!$F$6),AB169,0)+IF(AND('Your debts'!$F$11&lt;&gt;"",'Your debts'!$F$6&lt;&gt;"",'Your debts'!$F$11&lt;'Your debts'!$F$6),AG169,0)+IF(AND('Your debts'!$F$12&lt;&gt;"",'Your debts'!$F$6&lt;&gt;"",'Your debts'!$F$12&lt;'Your debts'!$F$6),AL169,0)+IF(AND('Your debts'!$F$13&lt;&gt;"",'Your debts'!$F$6&lt;&gt;"",'Your debts'!$F$13&lt;'Your debts'!$F$6),AQ169,0)+IF(AND('Your debts'!$F$14&lt;&gt;"",'Your debts'!$F$6&lt;&gt;"",'Your debts'!$F$14&lt;'Your debts'!$F$6),AV169,0)+IF(AND('Your debts'!$F$15&lt;&gt;"",'Your debts'!$F$6&lt;&gt;"",'Your debts'!$F$15&lt;'Your debts'!$F$6),BA169,0)))))</f>
        <v/>
      </c>
      <c r="J169" s="33">
        <f>H169-I169</f>
        <v/>
      </c>
      <c r="K169" s="33">
        <f>IF(O168&lt;=0,0,ROUND(O168*(1+'Your debts'!$D$7/1200),2))</f>
        <v/>
      </c>
      <c r="L169" s="33">
        <f>IF(K169&lt;=0,0,MIN('Your debts'!$E$7,K169))</f>
        <v/>
      </c>
      <c r="M169" s="33">
        <f>K169-L169</f>
        <v/>
      </c>
      <c r="N169" s="33">
        <f>IF('Your debts'!$F$7="",0,MIN(M169,MAX(0,MAX(0,'Your debts'!$C$19-(G169+L169+Q169+V169+AA169+AF169+AK169+AP169+AU169+AZ169))-(IF(AND('Your debts'!$F$6&lt;&gt;"",'Your debts'!$F$7&lt;&gt;"",'Your debts'!$F$6&lt;'Your debts'!$F$7),H169,0)+IF(AND('Your debts'!$F$8&lt;&gt;"",'Your debts'!$F$7&lt;&gt;"",'Your debts'!$F$8&lt;'Your debts'!$F$7),R169,0)+IF(AND('Your debts'!$F$9&lt;&gt;"",'Your debts'!$F$7&lt;&gt;"",'Your debts'!$F$9&lt;'Your debts'!$F$7),W169,0)+IF(AND('Your debts'!$F$10&lt;&gt;"",'Your debts'!$F$7&lt;&gt;"",'Your debts'!$F$10&lt;'Your debts'!$F$7),AB169,0)+IF(AND('Your debts'!$F$11&lt;&gt;"",'Your debts'!$F$7&lt;&gt;"",'Your debts'!$F$11&lt;'Your debts'!$F$7),AG169,0)+IF(AND('Your debts'!$F$12&lt;&gt;"",'Your debts'!$F$7&lt;&gt;"",'Your debts'!$F$12&lt;'Your debts'!$F$7),AL169,0)+IF(AND('Your debts'!$F$13&lt;&gt;"",'Your debts'!$F$7&lt;&gt;"",'Your debts'!$F$13&lt;'Your debts'!$F$7),AQ169,0)+IF(AND('Your debts'!$F$14&lt;&gt;"",'Your debts'!$F$7&lt;&gt;"",'Your debts'!$F$14&lt;'Your debts'!$F$7),AV169,0)+IF(AND('Your debts'!$F$15&lt;&gt;"",'Your debts'!$F$7&lt;&gt;"",'Your debts'!$F$15&lt;'Your debts'!$F$7),BA169,0)))))</f>
        <v/>
      </c>
      <c r="O169" s="33">
        <f>M169-N169</f>
        <v/>
      </c>
      <c r="P169" s="33">
        <f>IF(T168&lt;=0,0,ROUND(T168*(1+'Your debts'!$D$8/1200),2))</f>
        <v/>
      </c>
      <c r="Q169" s="33">
        <f>IF(P169&lt;=0,0,MIN('Your debts'!$E$8,P169))</f>
        <v/>
      </c>
      <c r="R169" s="33">
        <f>P169-Q169</f>
        <v/>
      </c>
      <c r="S169" s="33">
        <f>IF('Your debts'!$F$8="",0,MIN(R169,MAX(0,MAX(0,'Your debts'!$C$19-(G169+L169+Q169+V169+AA169+AF169+AK169+AP169+AU169+AZ169))-(IF(AND('Your debts'!$F$6&lt;&gt;"",'Your debts'!$F$8&lt;&gt;"",'Your debts'!$F$6&lt;'Your debts'!$F$8),H169,0)+IF(AND('Your debts'!$F$7&lt;&gt;"",'Your debts'!$F$8&lt;&gt;"",'Your debts'!$F$7&lt;'Your debts'!$F$8),M169,0)+IF(AND('Your debts'!$F$9&lt;&gt;"",'Your debts'!$F$8&lt;&gt;"",'Your debts'!$F$9&lt;'Your debts'!$F$8),W169,0)+IF(AND('Your debts'!$F$10&lt;&gt;"",'Your debts'!$F$8&lt;&gt;"",'Your debts'!$F$10&lt;'Your debts'!$F$8),AB169,0)+IF(AND('Your debts'!$F$11&lt;&gt;"",'Your debts'!$F$8&lt;&gt;"",'Your debts'!$F$11&lt;'Your debts'!$F$8),AG169,0)+IF(AND('Your debts'!$F$12&lt;&gt;"",'Your debts'!$F$8&lt;&gt;"",'Your debts'!$F$12&lt;'Your debts'!$F$8),AL169,0)+IF(AND('Your debts'!$F$13&lt;&gt;"",'Your debts'!$F$8&lt;&gt;"",'Your debts'!$F$13&lt;'Your debts'!$F$8),AQ169,0)+IF(AND('Your debts'!$F$14&lt;&gt;"",'Your debts'!$F$8&lt;&gt;"",'Your debts'!$F$14&lt;'Your debts'!$F$8),AV169,0)+IF(AND('Your debts'!$F$15&lt;&gt;"",'Your debts'!$F$8&lt;&gt;"",'Your debts'!$F$15&lt;'Your debts'!$F$8),BA169,0)))))</f>
        <v/>
      </c>
      <c r="T169" s="33">
        <f>R169-S169</f>
        <v/>
      </c>
      <c r="U169" s="33">
        <f>IF(Y168&lt;=0,0,ROUND(Y168*(1+'Your debts'!$D$9/1200),2))</f>
        <v/>
      </c>
      <c r="V169" s="33">
        <f>IF(U169&lt;=0,0,MIN('Your debts'!$E$9,U169))</f>
        <v/>
      </c>
      <c r="W169" s="33">
        <f>U169-V169</f>
        <v/>
      </c>
      <c r="X169" s="33">
        <f>IF('Your debts'!$F$9="",0,MIN(W169,MAX(0,MAX(0,'Your debts'!$C$19-(G169+L169+Q169+V169+AA169+AF169+AK169+AP169+AU169+AZ169))-(IF(AND('Your debts'!$F$6&lt;&gt;"",'Your debts'!$F$9&lt;&gt;"",'Your debts'!$F$6&lt;'Your debts'!$F$9),H169,0)+IF(AND('Your debts'!$F$7&lt;&gt;"",'Your debts'!$F$9&lt;&gt;"",'Your debts'!$F$7&lt;'Your debts'!$F$9),M169,0)+IF(AND('Your debts'!$F$8&lt;&gt;"",'Your debts'!$F$9&lt;&gt;"",'Your debts'!$F$8&lt;'Your debts'!$F$9),R169,0)+IF(AND('Your debts'!$F$10&lt;&gt;"",'Your debts'!$F$9&lt;&gt;"",'Your debts'!$F$10&lt;'Your debts'!$F$9),AB169,0)+IF(AND('Your debts'!$F$11&lt;&gt;"",'Your debts'!$F$9&lt;&gt;"",'Your debts'!$F$11&lt;'Your debts'!$F$9),AG169,0)+IF(AND('Your debts'!$F$12&lt;&gt;"",'Your debts'!$F$9&lt;&gt;"",'Your debts'!$F$12&lt;'Your debts'!$F$9),AL169,0)+IF(AND('Your debts'!$F$13&lt;&gt;"",'Your debts'!$F$9&lt;&gt;"",'Your debts'!$F$13&lt;'Your debts'!$F$9),AQ169,0)+IF(AND('Your debts'!$F$14&lt;&gt;"",'Your debts'!$F$9&lt;&gt;"",'Your debts'!$F$14&lt;'Your debts'!$F$9),AV169,0)+IF(AND('Your debts'!$F$15&lt;&gt;"",'Your debts'!$F$9&lt;&gt;"",'Your debts'!$F$15&lt;'Your debts'!$F$9),BA169,0)))))</f>
        <v/>
      </c>
      <c r="Y169" s="33">
        <f>W169-X169</f>
        <v/>
      </c>
      <c r="Z169" s="33">
        <f>IF(AD168&lt;=0,0,ROUND(AD168*(1+'Your debts'!$D$10/1200),2))</f>
        <v/>
      </c>
      <c r="AA169" s="33">
        <f>IF(Z169&lt;=0,0,MIN('Your debts'!$E$10,Z169))</f>
        <v/>
      </c>
      <c r="AB169" s="33">
        <f>Z169-AA169</f>
        <v/>
      </c>
      <c r="AC169" s="33">
        <f>IF('Your debts'!$F$10="",0,MIN(AB169,MAX(0,MAX(0,'Your debts'!$C$19-(G169+L169+Q169+V169+AA169+AF169+AK169+AP169+AU169+AZ169))-(IF(AND('Your debts'!$F$6&lt;&gt;"",'Your debts'!$F$10&lt;&gt;"",'Your debts'!$F$6&lt;'Your debts'!$F$10),H169,0)+IF(AND('Your debts'!$F$7&lt;&gt;"",'Your debts'!$F$10&lt;&gt;"",'Your debts'!$F$7&lt;'Your debts'!$F$10),M169,0)+IF(AND('Your debts'!$F$8&lt;&gt;"",'Your debts'!$F$10&lt;&gt;"",'Your debts'!$F$8&lt;'Your debts'!$F$10),R169,0)+IF(AND('Your debts'!$F$9&lt;&gt;"",'Your debts'!$F$10&lt;&gt;"",'Your debts'!$F$9&lt;'Your debts'!$F$10),W169,0)+IF(AND('Your debts'!$F$11&lt;&gt;"",'Your debts'!$F$10&lt;&gt;"",'Your debts'!$F$11&lt;'Your debts'!$F$10),AG169,0)+IF(AND('Your debts'!$F$12&lt;&gt;"",'Your debts'!$F$10&lt;&gt;"",'Your debts'!$F$12&lt;'Your debts'!$F$10),AL169,0)+IF(AND('Your debts'!$F$13&lt;&gt;"",'Your debts'!$F$10&lt;&gt;"",'Your debts'!$F$13&lt;'Your debts'!$F$10),AQ169,0)+IF(AND('Your debts'!$F$14&lt;&gt;"",'Your debts'!$F$10&lt;&gt;"",'Your debts'!$F$14&lt;'Your debts'!$F$10),AV169,0)+IF(AND('Your debts'!$F$15&lt;&gt;"",'Your debts'!$F$10&lt;&gt;"",'Your debts'!$F$15&lt;'Your debts'!$F$10),BA169,0)))))</f>
        <v/>
      </c>
      <c r="AD169" s="33">
        <f>AB169-AC169</f>
        <v/>
      </c>
      <c r="AE169" s="33">
        <f>IF(AI168&lt;=0,0,ROUND(AI168*(1+'Your debts'!$D$11/1200),2))</f>
        <v/>
      </c>
      <c r="AF169" s="33">
        <f>IF(AE169&lt;=0,0,MIN('Your debts'!$E$11,AE169))</f>
        <v/>
      </c>
      <c r="AG169" s="33">
        <f>AE169-AF169</f>
        <v/>
      </c>
      <c r="AH169" s="33">
        <f>IF('Your debts'!$F$11="",0,MIN(AG169,MAX(0,MAX(0,'Your debts'!$C$19-(G169+L169+Q169+V169+AA169+AF169+AK169+AP169+AU169+AZ169))-(IF(AND('Your debts'!$F$6&lt;&gt;"",'Your debts'!$F$11&lt;&gt;"",'Your debts'!$F$6&lt;'Your debts'!$F$11),H169,0)+IF(AND('Your debts'!$F$7&lt;&gt;"",'Your debts'!$F$11&lt;&gt;"",'Your debts'!$F$7&lt;'Your debts'!$F$11),M169,0)+IF(AND('Your debts'!$F$8&lt;&gt;"",'Your debts'!$F$11&lt;&gt;"",'Your debts'!$F$8&lt;'Your debts'!$F$11),R169,0)+IF(AND('Your debts'!$F$9&lt;&gt;"",'Your debts'!$F$11&lt;&gt;"",'Your debts'!$F$9&lt;'Your debts'!$F$11),W169,0)+IF(AND('Your debts'!$F$10&lt;&gt;"",'Your debts'!$F$11&lt;&gt;"",'Your debts'!$F$10&lt;'Your debts'!$F$11),AB169,0)+IF(AND('Your debts'!$F$12&lt;&gt;"",'Your debts'!$F$11&lt;&gt;"",'Your debts'!$F$12&lt;'Your debts'!$F$11),AL169,0)+IF(AND('Your debts'!$F$13&lt;&gt;"",'Your debts'!$F$11&lt;&gt;"",'Your debts'!$F$13&lt;'Your debts'!$F$11),AQ169,0)+IF(AND('Your debts'!$F$14&lt;&gt;"",'Your debts'!$F$11&lt;&gt;"",'Your debts'!$F$14&lt;'Your debts'!$F$11),AV169,0)+IF(AND('Your debts'!$F$15&lt;&gt;"",'Your debts'!$F$11&lt;&gt;"",'Your debts'!$F$15&lt;'Your debts'!$F$11),BA169,0)))))</f>
        <v/>
      </c>
      <c r="AI169" s="33">
        <f>AG169-AH169</f>
        <v/>
      </c>
      <c r="AJ169" s="33">
        <f>IF(AN168&lt;=0,0,ROUND(AN168*(1+'Your debts'!$D$12/1200),2))</f>
        <v/>
      </c>
      <c r="AK169" s="33">
        <f>IF(AJ169&lt;=0,0,MIN('Your debts'!$E$12,AJ169))</f>
        <v/>
      </c>
      <c r="AL169" s="33">
        <f>AJ169-AK169</f>
        <v/>
      </c>
      <c r="AM169" s="33">
        <f>IF('Your debts'!$F$12="",0,MIN(AL169,MAX(0,MAX(0,'Your debts'!$C$19-(G169+L169+Q169+V169+AA169+AF169+AK169+AP169+AU169+AZ169))-(IF(AND('Your debts'!$F$6&lt;&gt;"",'Your debts'!$F$12&lt;&gt;"",'Your debts'!$F$6&lt;'Your debts'!$F$12),H169,0)+IF(AND('Your debts'!$F$7&lt;&gt;"",'Your debts'!$F$12&lt;&gt;"",'Your debts'!$F$7&lt;'Your debts'!$F$12),M169,0)+IF(AND('Your debts'!$F$8&lt;&gt;"",'Your debts'!$F$12&lt;&gt;"",'Your debts'!$F$8&lt;'Your debts'!$F$12),R169,0)+IF(AND('Your debts'!$F$9&lt;&gt;"",'Your debts'!$F$12&lt;&gt;"",'Your debts'!$F$9&lt;'Your debts'!$F$12),W169,0)+IF(AND('Your debts'!$F$10&lt;&gt;"",'Your debts'!$F$12&lt;&gt;"",'Your debts'!$F$10&lt;'Your debts'!$F$12),AB169,0)+IF(AND('Your debts'!$F$11&lt;&gt;"",'Your debts'!$F$12&lt;&gt;"",'Your debts'!$F$11&lt;'Your debts'!$F$12),AG169,0)+IF(AND('Your debts'!$F$13&lt;&gt;"",'Your debts'!$F$12&lt;&gt;"",'Your debts'!$F$13&lt;'Your debts'!$F$12),AQ169,0)+IF(AND('Your debts'!$F$14&lt;&gt;"",'Your debts'!$F$12&lt;&gt;"",'Your debts'!$F$14&lt;'Your debts'!$F$12),AV169,0)+IF(AND('Your debts'!$F$15&lt;&gt;"",'Your debts'!$F$12&lt;&gt;"",'Your debts'!$F$15&lt;'Your debts'!$F$12),BA169,0)))))</f>
        <v/>
      </c>
      <c r="AN169" s="33">
        <f>AL169-AM169</f>
        <v/>
      </c>
      <c r="AO169" s="33">
        <f>IF(AS168&lt;=0,0,ROUND(AS168*(1+'Your debts'!$D$13/1200),2))</f>
        <v/>
      </c>
      <c r="AP169" s="33">
        <f>IF(AO169&lt;=0,0,MIN('Your debts'!$E$13,AO169))</f>
        <v/>
      </c>
      <c r="AQ169" s="33">
        <f>AO169-AP169</f>
        <v/>
      </c>
      <c r="AR169" s="33">
        <f>IF('Your debts'!$F$13="",0,MIN(AQ169,MAX(0,MAX(0,'Your debts'!$C$19-(G169+L169+Q169+V169+AA169+AF169+AK169+AP169+AU169+AZ169))-(IF(AND('Your debts'!$F$6&lt;&gt;"",'Your debts'!$F$13&lt;&gt;"",'Your debts'!$F$6&lt;'Your debts'!$F$13),H169,0)+IF(AND('Your debts'!$F$7&lt;&gt;"",'Your debts'!$F$13&lt;&gt;"",'Your debts'!$F$7&lt;'Your debts'!$F$13),M169,0)+IF(AND('Your debts'!$F$8&lt;&gt;"",'Your debts'!$F$13&lt;&gt;"",'Your debts'!$F$8&lt;'Your debts'!$F$13),R169,0)+IF(AND('Your debts'!$F$9&lt;&gt;"",'Your debts'!$F$13&lt;&gt;"",'Your debts'!$F$9&lt;'Your debts'!$F$13),W169,0)+IF(AND('Your debts'!$F$10&lt;&gt;"",'Your debts'!$F$13&lt;&gt;"",'Your debts'!$F$10&lt;'Your debts'!$F$13),AB169,0)+IF(AND('Your debts'!$F$11&lt;&gt;"",'Your debts'!$F$13&lt;&gt;"",'Your debts'!$F$11&lt;'Your debts'!$F$13),AG169,0)+IF(AND('Your debts'!$F$12&lt;&gt;"",'Your debts'!$F$13&lt;&gt;"",'Your debts'!$F$12&lt;'Your debts'!$F$13),AL169,0)+IF(AND('Your debts'!$F$14&lt;&gt;"",'Your debts'!$F$13&lt;&gt;"",'Your debts'!$F$14&lt;'Your debts'!$F$13),AV169,0)+IF(AND('Your debts'!$F$15&lt;&gt;"",'Your debts'!$F$13&lt;&gt;"",'Your debts'!$F$15&lt;'Your debts'!$F$13),BA169,0)))))</f>
        <v/>
      </c>
      <c r="AS169" s="33">
        <f>AQ169-AR169</f>
        <v/>
      </c>
      <c r="AT169" s="33">
        <f>IF(AX168&lt;=0,0,ROUND(AX168*(1+'Your debts'!$D$14/1200),2))</f>
        <v/>
      </c>
      <c r="AU169" s="33">
        <f>IF(AT169&lt;=0,0,MIN('Your debts'!$E$14,AT169))</f>
        <v/>
      </c>
      <c r="AV169" s="33">
        <f>AT169-AU169</f>
        <v/>
      </c>
      <c r="AW169" s="33">
        <f>IF('Your debts'!$F$14="",0,MIN(AV169,MAX(0,MAX(0,'Your debts'!$C$19-(G169+L169+Q169+V169+AA169+AF169+AK169+AP169+AU169+AZ169))-(IF(AND('Your debts'!$F$6&lt;&gt;"",'Your debts'!$F$14&lt;&gt;"",'Your debts'!$F$6&lt;'Your debts'!$F$14),H169,0)+IF(AND('Your debts'!$F$7&lt;&gt;"",'Your debts'!$F$14&lt;&gt;"",'Your debts'!$F$7&lt;'Your debts'!$F$14),M169,0)+IF(AND('Your debts'!$F$8&lt;&gt;"",'Your debts'!$F$14&lt;&gt;"",'Your debts'!$F$8&lt;'Your debts'!$F$14),R169,0)+IF(AND('Your debts'!$F$9&lt;&gt;"",'Your debts'!$F$14&lt;&gt;"",'Your debts'!$F$9&lt;'Your debts'!$F$14),W169,0)+IF(AND('Your debts'!$F$10&lt;&gt;"",'Your debts'!$F$14&lt;&gt;"",'Your debts'!$F$10&lt;'Your debts'!$F$14),AB169,0)+IF(AND('Your debts'!$F$11&lt;&gt;"",'Your debts'!$F$14&lt;&gt;"",'Your debts'!$F$11&lt;'Your debts'!$F$14),AG169,0)+IF(AND('Your debts'!$F$12&lt;&gt;"",'Your debts'!$F$14&lt;&gt;"",'Your debts'!$F$12&lt;'Your debts'!$F$14),AL169,0)+IF(AND('Your debts'!$F$13&lt;&gt;"",'Your debts'!$F$14&lt;&gt;"",'Your debts'!$F$13&lt;'Your debts'!$F$14),AQ169,0)+IF(AND('Your debts'!$F$15&lt;&gt;"",'Your debts'!$F$14&lt;&gt;"",'Your debts'!$F$15&lt;'Your debts'!$F$14),BA169,0)))))</f>
        <v/>
      </c>
      <c r="AX169" s="33">
        <f>AV169-AW169</f>
        <v/>
      </c>
      <c r="AY169" s="33">
        <f>IF(BC168&lt;=0,0,ROUND(BC168*(1+'Your debts'!$D$15/1200),2))</f>
        <v/>
      </c>
      <c r="AZ169" s="33">
        <f>IF(AY169&lt;=0,0,MIN('Your debts'!$E$15,AY169))</f>
        <v/>
      </c>
      <c r="BA169" s="33">
        <f>AY169-AZ169</f>
        <v/>
      </c>
      <c r="BB169" s="33">
        <f>IF('Your debts'!$F$15="",0,MIN(BA169,MAX(0,MAX(0,'Your debts'!$C$19-(G169+L169+Q169+V169+AA169+AF169+AK169+AP169+AU169+AZ169))-(IF(AND('Your debts'!$F$6&lt;&gt;"",'Your debts'!$F$15&lt;&gt;"",'Your debts'!$F$6&lt;'Your debts'!$F$15),H169,0)+IF(AND('Your debts'!$F$7&lt;&gt;"",'Your debts'!$F$15&lt;&gt;"",'Your debts'!$F$7&lt;'Your debts'!$F$15),M169,0)+IF(AND('Your debts'!$F$8&lt;&gt;"",'Your debts'!$F$15&lt;&gt;"",'Your debts'!$F$8&lt;'Your debts'!$F$15),R169,0)+IF(AND('Your debts'!$F$9&lt;&gt;"",'Your debts'!$F$15&lt;&gt;"",'Your debts'!$F$9&lt;'Your debts'!$F$15),W169,0)+IF(AND('Your debts'!$F$10&lt;&gt;"",'Your debts'!$F$15&lt;&gt;"",'Your debts'!$F$10&lt;'Your debts'!$F$15),AB169,0)+IF(AND('Your debts'!$F$11&lt;&gt;"",'Your debts'!$F$15&lt;&gt;"",'Your debts'!$F$11&lt;'Your debts'!$F$15),AG169,0)+IF(AND('Your debts'!$F$12&lt;&gt;"",'Your debts'!$F$15&lt;&gt;"",'Your debts'!$F$12&lt;'Your debts'!$F$15),AL169,0)+IF(AND('Your debts'!$F$13&lt;&gt;"",'Your debts'!$F$15&lt;&gt;"",'Your debts'!$F$13&lt;'Your debts'!$F$15),AQ169,0)+IF(AND('Your debts'!$F$14&lt;&gt;"",'Your debts'!$F$15&lt;&gt;"",'Your debts'!$F$14&lt;'Your debts'!$F$15),AV169,0)))))</f>
        <v/>
      </c>
      <c r="BC169" s="33">
        <f>BA169-BB169</f>
        <v/>
      </c>
    </row>
    <row r="170">
      <c r="A170" s="30" t="n">
        <v>155</v>
      </c>
      <c r="B170" s="31">
        <f>EDATE($B$15,155)</f>
        <v/>
      </c>
      <c r="C170" s="32">
        <f>IF(J169&lt;=0,0,F170-J169)+IF(O169&lt;=0,0,K170-O169)+IF(T169&lt;=0,0,P170-T169)+IF(Y169&lt;=0,0,U170-Y169)+IF(AD169&lt;=0,0,Z170-AD169)+IF(AI169&lt;=0,0,AE170-AI169)+IF(AN169&lt;=0,0,AJ170-AN169)+IF(AS169&lt;=0,0,AO170-AS169)+IF(AX169&lt;=0,0,AT170-AX169)+IF(BC169&lt;=0,0,AY170-BC169)</f>
        <v/>
      </c>
      <c r="D170" s="32">
        <f>G170+I170+L170+N170+Q170+S170+V170+X170+AA170+AC170+AF170+AH170+AK170+AM170+AP170+AR170+AU170+AW170+AZ170+BB170</f>
        <v/>
      </c>
      <c r="E170" s="32">
        <f>J170+O170+T170+Y170+AD170+AI170+AN170+AS170+AX170+BC170</f>
        <v/>
      </c>
      <c r="F170" s="33">
        <f>IF(J169&lt;=0,0,ROUND(J169*(1+'Your debts'!$D$6/1200),2))</f>
        <v/>
      </c>
      <c r="G170" s="33">
        <f>IF(F170&lt;=0,0,MIN('Your debts'!$E$6,F170))</f>
        <v/>
      </c>
      <c r="H170" s="33">
        <f>F170-G170</f>
        <v/>
      </c>
      <c r="I170" s="33">
        <f>IF('Your debts'!$F$6="",0,MIN(H170,MAX(0,MAX(0,'Your debts'!$C$19-(G170+L170+Q170+V170+AA170+AF170+AK170+AP170+AU170+AZ170))-(IF(AND('Your debts'!$F$7&lt;&gt;"",'Your debts'!$F$6&lt;&gt;"",'Your debts'!$F$7&lt;'Your debts'!$F$6),M170,0)+IF(AND('Your debts'!$F$8&lt;&gt;"",'Your debts'!$F$6&lt;&gt;"",'Your debts'!$F$8&lt;'Your debts'!$F$6),R170,0)+IF(AND('Your debts'!$F$9&lt;&gt;"",'Your debts'!$F$6&lt;&gt;"",'Your debts'!$F$9&lt;'Your debts'!$F$6),W170,0)+IF(AND('Your debts'!$F$10&lt;&gt;"",'Your debts'!$F$6&lt;&gt;"",'Your debts'!$F$10&lt;'Your debts'!$F$6),AB170,0)+IF(AND('Your debts'!$F$11&lt;&gt;"",'Your debts'!$F$6&lt;&gt;"",'Your debts'!$F$11&lt;'Your debts'!$F$6),AG170,0)+IF(AND('Your debts'!$F$12&lt;&gt;"",'Your debts'!$F$6&lt;&gt;"",'Your debts'!$F$12&lt;'Your debts'!$F$6),AL170,0)+IF(AND('Your debts'!$F$13&lt;&gt;"",'Your debts'!$F$6&lt;&gt;"",'Your debts'!$F$13&lt;'Your debts'!$F$6),AQ170,0)+IF(AND('Your debts'!$F$14&lt;&gt;"",'Your debts'!$F$6&lt;&gt;"",'Your debts'!$F$14&lt;'Your debts'!$F$6),AV170,0)+IF(AND('Your debts'!$F$15&lt;&gt;"",'Your debts'!$F$6&lt;&gt;"",'Your debts'!$F$15&lt;'Your debts'!$F$6),BA170,0)))))</f>
        <v/>
      </c>
      <c r="J170" s="33">
        <f>H170-I170</f>
        <v/>
      </c>
      <c r="K170" s="33">
        <f>IF(O169&lt;=0,0,ROUND(O169*(1+'Your debts'!$D$7/1200),2))</f>
        <v/>
      </c>
      <c r="L170" s="33">
        <f>IF(K170&lt;=0,0,MIN('Your debts'!$E$7,K170))</f>
        <v/>
      </c>
      <c r="M170" s="33">
        <f>K170-L170</f>
        <v/>
      </c>
      <c r="N170" s="33">
        <f>IF('Your debts'!$F$7="",0,MIN(M170,MAX(0,MAX(0,'Your debts'!$C$19-(G170+L170+Q170+V170+AA170+AF170+AK170+AP170+AU170+AZ170))-(IF(AND('Your debts'!$F$6&lt;&gt;"",'Your debts'!$F$7&lt;&gt;"",'Your debts'!$F$6&lt;'Your debts'!$F$7),H170,0)+IF(AND('Your debts'!$F$8&lt;&gt;"",'Your debts'!$F$7&lt;&gt;"",'Your debts'!$F$8&lt;'Your debts'!$F$7),R170,0)+IF(AND('Your debts'!$F$9&lt;&gt;"",'Your debts'!$F$7&lt;&gt;"",'Your debts'!$F$9&lt;'Your debts'!$F$7),W170,0)+IF(AND('Your debts'!$F$10&lt;&gt;"",'Your debts'!$F$7&lt;&gt;"",'Your debts'!$F$10&lt;'Your debts'!$F$7),AB170,0)+IF(AND('Your debts'!$F$11&lt;&gt;"",'Your debts'!$F$7&lt;&gt;"",'Your debts'!$F$11&lt;'Your debts'!$F$7),AG170,0)+IF(AND('Your debts'!$F$12&lt;&gt;"",'Your debts'!$F$7&lt;&gt;"",'Your debts'!$F$12&lt;'Your debts'!$F$7),AL170,0)+IF(AND('Your debts'!$F$13&lt;&gt;"",'Your debts'!$F$7&lt;&gt;"",'Your debts'!$F$13&lt;'Your debts'!$F$7),AQ170,0)+IF(AND('Your debts'!$F$14&lt;&gt;"",'Your debts'!$F$7&lt;&gt;"",'Your debts'!$F$14&lt;'Your debts'!$F$7),AV170,0)+IF(AND('Your debts'!$F$15&lt;&gt;"",'Your debts'!$F$7&lt;&gt;"",'Your debts'!$F$15&lt;'Your debts'!$F$7),BA170,0)))))</f>
        <v/>
      </c>
      <c r="O170" s="33">
        <f>M170-N170</f>
        <v/>
      </c>
      <c r="P170" s="33">
        <f>IF(T169&lt;=0,0,ROUND(T169*(1+'Your debts'!$D$8/1200),2))</f>
        <v/>
      </c>
      <c r="Q170" s="33">
        <f>IF(P170&lt;=0,0,MIN('Your debts'!$E$8,P170))</f>
        <v/>
      </c>
      <c r="R170" s="33">
        <f>P170-Q170</f>
        <v/>
      </c>
      <c r="S170" s="33">
        <f>IF('Your debts'!$F$8="",0,MIN(R170,MAX(0,MAX(0,'Your debts'!$C$19-(G170+L170+Q170+V170+AA170+AF170+AK170+AP170+AU170+AZ170))-(IF(AND('Your debts'!$F$6&lt;&gt;"",'Your debts'!$F$8&lt;&gt;"",'Your debts'!$F$6&lt;'Your debts'!$F$8),H170,0)+IF(AND('Your debts'!$F$7&lt;&gt;"",'Your debts'!$F$8&lt;&gt;"",'Your debts'!$F$7&lt;'Your debts'!$F$8),M170,0)+IF(AND('Your debts'!$F$9&lt;&gt;"",'Your debts'!$F$8&lt;&gt;"",'Your debts'!$F$9&lt;'Your debts'!$F$8),W170,0)+IF(AND('Your debts'!$F$10&lt;&gt;"",'Your debts'!$F$8&lt;&gt;"",'Your debts'!$F$10&lt;'Your debts'!$F$8),AB170,0)+IF(AND('Your debts'!$F$11&lt;&gt;"",'Your debts'!$F$8&lt;&gt;"",'Your debts'!$F$11&lt;'Your debts'!$F$8),AG170,0)+IF(AND('Your debts'!$F$12&lt;&gt;"",'Your debts'!$F$8&lt;&gt;"",'Your debts'!$F$12&lt;'Your debts'!$F$8),AL170,0)+IF(AND('Your debts'!$F$13&lt;&gt;"",'Your debts'!$F$8&lt;&gt;"",'Your debts'!$F$13&lt;'Your debts'!$F$8),AQ170,0)+IF(AND('Your debts'!$F$14&lt;&gt;"",'Your debts'!$F$8&lt;&gt;"",'Your debts'!$F$14&lt;'Your debts'!$F$8),AV170,0)+IF(AND('Your debts'!$F$15&lt;&gt;"",'Your debts'!$F$8&lt;&gt;"",'Your debts'!$F$15&lt;'Your debts'!$F$8),BA170,0)))))</f>
        <v/>
      </c>
      <c r="T170" s="33">
        <f>R170-S170</f>
        <v/>
      </c>
      <c r="U170" s="33">
        <f>IF(Y169&lt;=0,0,ROUND(Y169*(1+'Your debts'!$D$9/1200),2))</f>
        <v/>
      </c>
      <c r="V170" s="33">
        <f>IF(U170&lt;=0,0,MIN('Your debts'!$E$9,U170))</f>
        <v/>
      </c>
      <c r="W170" s="33">
        <f>U170-V170</f>
        <v/>
      </c>
      <c r="X170" s="33">
        <f>IF('Your debts'!$F$9="",0,MIN(W170,MAX(0,MAX(0,'Your debts'!$C$19-(G170+L170+Q170+V170+AA170+AF170+AK170+AP170+AU170+AZ170))-(IF(AND('Your debts'!$F$6&lt;&gt;"",'Your debts'!$F$9&lt;&gt;"",'Your debts'!$F$6&lt;'Your debts'!$F$9),H170,0)+IF(AND('Your debts'!$F$7&lt;&gt;"",'Your debts'!$F$9&lt;&gt;"",'Your debts'!$F$7&lt;'Your debts'!$F$9),M170,0)+IF(AND('Your debts'!$F$8&lt;&gt;"",'Your debts'!$F$9&lt;&gt;"",'Your debts'!$F$8&lt;'Your debts'!$F$9),R170,0)+IF(AND('Your debts'!$F$10&lt;&gt;"",'Your debts'!$F$9&lt;&gt;"",'Your debts'!$F$10&lt;'Your debts'!$F$9),AB170,0)+IF(AND('Your debts'!$F$11&lt;&gt;"",'Your debts'!$F$9&lt;&gt;"",'Your debts'!$F$11&lt;'Your debts'!$F$9),AG170,0)+IF(AND('Your debts'!$F$12&lt;&gt;"",'Your debts'!$F$9&lt;&gt;"",'Your debts'!$F$12&lt;'Your debts'!$F$9),AL170,0)+IF(AND('Your debts'!$F$13&lt;&gt;"",'Your debts'!$F$9&lt;&gt;"",'Your debts'!$F$13&lt;'Your debts'!$F$9),AQ170,0)+IF(AND('Your debts'!$F$14&lt;&gt;"",'Your debts'!$F$9&lt;&gt;"",'Your debts'!$F$14&lt;'Your debts'!$F$9),AV170,0)+IF(AND('Your debts'!$F$15&lt;&gt;"",'Your debts'!$F$9&lt;&gt;"",'Your debts'!$F$15&lt;'Your debts'!$F$9),BA170,0)))))</f>
        <v/>
      </c>
      <c r="Y170" s="33">
        <f>W170-X170</f>
        <v/>
      </c>
      <c r="Z170" s="33">
        <f>IF(AD169&lt;=0,0,ROUND(AD169*(1+'Your debts'!$D$10/1200),2))</f>
        <v/>
      </c>
      <c r="AA170" s="33">
        <f>IF(Z170&lt;=0,0,MIN('Your debts'!$E$10,Z170))</f>
        <v/>
      </c>
      <c r="AB170" s="33">
        <f>Z170-AA170</f>
        <v/>
      </c>
      <c r="AC170" s="33">
        <f>IF('Your debts'!$F$10="",0,MIN(AB170,MAX(0,MAX(0,'Your debts'!$C$19-(G170+L170+Q170+V170+AA170+AF170+AK170+AP170+AU170+AZ170))-(IF(AND('Your debts'!$F$6&lt;&gt;"",'Your debts'!$F$10&lt;&gt;"",'Your debts'!$F$6&lt;'Your debts'!$F$10),H170,0)+IF(AND('Your debts'!$F$7&lt;&gt;"",'Your debts'!$F$10&lt;&gt;"",'Your debts'!$F$7&lt;'Your debts'!$F$10),M170,0)+IF(AND('Your debts'!$F$8&lt;&gt;"",'Your debts'!$F$10&lt;&gt;"",'Your debts'!$F$8&lt;'Your debts'!$F$10),R170,0)+IF(AND('Your debts'!$F$9&lt;&gt;"",'Your debts'!$F$10&lt;&gt;"",'Your debts'!$F$9&lt;'Your debts'!$F$10),W170,0)+IF(AND('Your debts'!$F$11&lt;&gt;"",'Your debts'!$F$10&lt;&gt;"",'Your debts'!$F$11&lt;'Your debts'!$F$10),AG170,0)+IF(AND('Your debts'!$F$12&lt;&gt;"",'Your debts'!$F$10&lt;&gt;"",'Your debts'!$F$12&lt;'Your debts'!$F$10),AL170,0)+IF(AND('Your debts'!$F$13&lt;&gt;"",'Your debts'!$F$10&lt;&gt;"",'Your debts'!$F$13&lt;'Your debts'!$F$10),AQ170,0)+IF(AND('Your debts'!$F$14&lt;&gt;"",'Your debts'!$F$10&lt;&gt;"",'Your debts'!$F$14&lt;'Your debts'!$F$10),AV170,0)+IF(AND('Your debts'!$F$15&lt;&gt;"",'Your debts'!$F$10&lt;&gt;"",'Your debts'!$F$15&lt;'Your debts'!$F$10),BA170,0)))))</f>
        <v/>
      </c>
      <c r="AD170" s="33">
        <f>AB170-AC170</f>
        <v/>
      </c>
      <c r="AE170" s="33">
        <f>IF(AI169&lt;=0,0,ROUND(AI169*(1+'Your debts'!$D$11/1200),2))</f>
        <v/>
      </c>
      <c r="AF170" s="33">
        <f>IF(AE170&lt;=0,0,MIN('Your debts'!$E$11,AE170))</f>
        <v/>
      </c>
      <c r="AG170" s="33">
        <f>AE170-AF170</f>
        <v/>
      </c>
      <c r="AH170" s="33">
        <f>IF('Your debts'!$F$11="",0,MIN(AG170,MAX(0,MAX(0,'Your debts'!$C$19-(G170+L170+Q170+V170+AA170+AF170+AK170+AP170+AU170+AZ170))-(IF(AND('Your debts'!$F$6&lt;&gt;"",'Your debts'!$F$11&lt;&gt;"",'Your debts'!$F$6&lt;'Your debts'!$F$11),H170,0)+IF(AND('Your debts'!$F$7&lt;&gt;"",'Your debts'!$F$11&lt;&gt;"",'Your debts'!$F$7&lt;'Your debts'!$F$11),M170,0)+IF(AND('Your debts'!$F$8&lt;&gt;"",'Your debts'!$F$11&lt;&gt;"",'Your debts'!$F$8&lt;'Your debts'!$F$11),R170,0)+IF(AND('Your debts'!$F$9&lt;&gt;"",'Your debts'!$F$11&lt;&gt;"",'Your debts'!$F$9&lt;'Your debts'!$F$11),W170,0)+IF(AND('Your debts'!$F$10&lt;&gt;"",'Your debts'!$F$11&lt;&gt;"",'Your debts'!$F$10&lt;'Your debts'!$F$11),AB170,0)+IF(AND('Your debts'!$F$12&lt;&gt;"",'Your debts'!$F$11&lt;&gt;"",'Your debts'!$F$12&lt;'Your debts'!$F$11),AL170,0)+IF(AND('Your debts'!$F$13&lt;&gt;"",'Your debts'!$F$11&lt;&gt;"",'Your debts'!$F$13&lt;'Your debts'!$F$11),AQ170,0)+IF(AND('Your debts'!$F$14&lt;&gt;"",'Your debts'!$F$11&lt;&gt;"",'Your debts'!$F$14&lt;'Your debts'!$F$11),AV170,0)+IF(AND('Your debts'!$F$15&lt;&gt;"",'Your debts'!$F$11&lt;&gt;"",'Your debts'!$F$15&lt;'Your debts'!$F$11),BA170,0)))))</f>
        <v/>
      </c>
      <c r="AI170" s="33">
        <f>AG170-AH170</f>
        <v/>
      </c>
      <c r="AJ170" s="33">
        <f>IF(AN169&lt;=0,0,ROUND(AN169*(1+'Your debts'!$D$12/1200),2))</f>
        <v/>
      </c>
      <c r="AK170" s="33">
        <f>IF(AJ170&lt;=0,0,MIN('Your debts'!$E$12,AJ170))</f>
        <v/>
      </c>
      <c r="AL170" s="33">
        <f>AJ170-AK170</f>
        <v/>
      </c>
      <c r="AM170" s="33">
        <f>IF('Your debts'!$F$12="",0,MIN(AL170,MAX(0,MAX(0,'Your debts'!$C$19-(G170+L170+Q170+V170+AA170+AF170+AK170+AP170+AU170+AZ170))-(IF(AND('Your debts'!$F$6&lt;&gt;"",'Your debts'!$F$12&lt;&gt;"",'Your debts'!$F$6&lt;'Your debts'!$F$12),H170,0)+IF(AND('Your debts'!$F$7&lt;&gt;"",'Your debts'!$F$12&lt;&gt;"",'Your debts'!$F$7&lt;'Your debts'!$F$12),M170,0)+IF(AND('Your debts'!$F$8&lt;&gt;"",'Your debts'!$F$12&lt;&gt;"",'Your debts'!$F$8&lt;'Your debts'!$F$12),R170,0)+IF(AND('Your debts'!$F$9&lt;&gt;"",'Your debts'!$F$12&lt;&gt;"",'Your debts'!$F$9&lt;'Your debts'!$F$12),W170,0)+IF(AND('Your debts'!$F$10&lt;&gt;"",'Your debts'!$F$12&lt;&gt;"",'Your debts'!$F$10&lt;'Your debts'!$F$12),AB170,0)+IF(AND('Your debts'!$F$11&lt;&gt;"",'Your debts'!$F$12&lt;&gt;"",'Your debts'!$F$11&lt;'Your debts'!$F$12),AG170,0)+IF(AND('Your debts'!$F$13&lt;&gt;"",'Your debts'!$F$12&lt;&gt;"",'Your debts'!$F$13&lt;'Your debts'!$F$12),AQ170,0)+IF(AND('Your debts'!$F$14&lt;&gt;"",'Your debts'!$F$12&lt;&gt;"",'Your debts'!$F$14&lt;'Your debts'!$F$12),AV170,0)+IF(AND('Your debts'!$F$15&lt;&gt;"",'Your debts'!$F$12&lt;&gt;"",'Your debts'!$F$15&lt;'Your debts'!$F$12),BA170,0)))))</f>
        <v/>
      </c>
      <c r="AN170" s="33">
        <f>AL170-AM170</f>
        <v/>
      </c>
      <c r="AO170" s="33">
        <f>IF(AS169&lt;=0,0,ROUND(AS169*(1+'Your debts'!$D$13/1200),2))</f>
        <v/>
      </c>
      <c r="AP170" s="33">
        <f>IF(AO170&lt;=0,0,MIN('Your debts'!$E$13,AO170))</f>
        <v/>
      </c>
      <c r="AQ170" s="33">
        <f>AO170-AP170</f>
        <v/>
      </c>
      <c r="AR170" s="33">
        <f>IF('Your debts'!$F$13="",0,MIN(AQ170,MAX(0,MAX(0,'Your debts'!$C$19-(G170+L170+Q170+V170+AA170+AF170+AK170+AP170+AU170+AZ170))-(IF(AND('Your debts'!$F$6&lt;&gt;"",'Your debts'!$F$13&lt;&gt;"",'Your debts'!$F$6&lt;'Your debts'!$F$13),H170,0)+IF(AND('Your debts'!$F$7&lt;&gt;"",'Your debts'!$F$13&lt;&gt;"",'Your debts'!$F$7&lt;'Your debts'!$F$13),M170,0)+IF(AND('Your debts'!$F$8&lt;&gt;"",'Your debts'!$F$13&lt;&gt;"",'Your debts'!$F$8&lt;'Your debts'!$F$13),R170,0)+IF(AND('Your debts'!$F$9&lt;&gt;"",'Your debts'!$F$13&lt;&gt;"",'Your debts'!$F$9&lt;'Your debts'!$F$13),W170,0)+IF(AND('Your debts'!$F$10&lt;&gt;"",'Your debts'!$F$13&lt;&gt;"",'Your debts'!$F$10&lt;'Your debts'!$F$13),AB170,0)+IF(AND('Your debts'!$F$11&lt;&gt;"",'Your debts'!$F$13&lt;&gt;"",'Your debts'!$F$11&lt;'Your debts'!$F$13),AG170,0)+IF(AND('Your debts'!$F$12&lt;&gt;"",'Your debts'!$F$13&lt;&gt;"",'Your debts'!$F$12&lt;'Your debts'!$F$13),AL170,0)+IF(AND('Your debts'!$F$14&lt;&gt;"",'Your debts'!$F$13&lt;&gt;"",'Your debts'!$F$14&lt;'Your debts'!$F$13),AV170,0)+IF(AND('Your debts'!$F$15&lt;&gt;"",'Your debts'!$F$13&lt;&gt;"",'Your debts'!$F$15&lt;'Your debts'!$F$13),BA170,0)))))</f>
        <v/>
      </c>
      <c r="AS170" s="33">
        <f>AQ170-AR170</f>
        <v/>
      </c>
      <c r="AT170" s="33">
        <f>IF(AX169&lt;=0,0,ROUND(AX169*(1+'Your debts'!$D$14/1200),2))</f>
        <v/>
      </c>
      <c r="AU170" s="33">
        <f>IF(AT170&lt;=0,0,MIN('Your debts'!$E$14,AT170))</f>
        <v/>
      </c>
      <c r="AV170" s="33">
        <f>AT170-AU170</f>
        <v/>
      </c>
      <c r="AW170" s="33">
        <f>IF('Your debts'!$F$14="",0,MIN(AV170,MAX(0,MAX(0,'Your debts'!$C$19-(G170+L170+Q170+V170+AA170+AF170+AK170+AP170+AU170+AZ170))-(IF(AND('Your debts'!$F$6&lt;&gt;"",'Your debts'!$F$14&lt;&gt;"",'Your debts'!$F$6&lt;'Your debts'!$F$14),H170,0)+IF(AND('Your debts'!$F$7&lt;&gt;"",'Your debts'!$F$14&lt;&gt;"",'Your debts'!$F$7&lt;'Your debts'!$F$14),M170,0)+IF(AND('Your debts'!$F$8&lt;&gt;"",'Your debts'!$F$14&lt;&gt;"",'Your debts'!$F$8&lt;'Your debts'!$F$14),R170,0)+IF(AND('Your debts'!$F$9&lt;&gt;"",'Your debts'!$F$14&lt;&gt;"",'Your debts'!$F$9&lt;'Your debts'!$F$14),W170,0)+IF(AND('Your debts'!$F$10&lt;&gt;"",'Your debts'!$F$14&lt;&gt;"",'Your debts'!$F$10&lt;'Your debts'!$F$14),AB170,0)+IF(AND('Your debts'!$F$11&lt;&gt;"",'Your debts'!$F$14&lt;&gt;"",'Your debts'!$F$11&lt;'Your debts'!$F$14),AG170,0)+IF(AND('Your debts'!$F$12&lt;&gt;"",'Your debts'!$F$14&lt;&gt;"",'Your debts'!$F$12&lt;'Your debts'!$F$14),AL170,0)+IF(AND('Your debts'!$F$13&lt;&gt;"",'Your debts'!$F$14&lt;&gt;"",'Your debts'!$F$13&lt;'Your debts'!$F$14),AQ170,0)+IF(AND('Your debts'!$F$15&lt;&gt;"",'Your debts'!$F$14&lt;&gt;"",'Your debts'!$F$15&lt;'Your debts'!$F$14),BA170,0)))))</f>
        <v/>
      </c>
      <c r="AX170" s="33">
        <f>AV170-AW170</f>
        <v/>
      </c>
      <c r="AY170" s="33">
        <f>IF(BC169&lt;=0,0,ROUND(BC169*(1+'Your debts'!$D$15/1200),2))</f>
        <v/>
      </c>
      <c r="AZ170" s="33">
        <f>IF(AY170&lt;=0,0,MIN('Your debts'!$E$15,AY170))</f>
        <v/>
      </c>
      <c r="BA170" s="33">
        <f>AY170-AZ170</f>
        <v/>
      </c>
      <c r="BB170" s="33">
        <f>IF('Your debts'!$F$15="",0,MIN(BA170,MAX(0,MAX(0,'Your debts'!$C$19-(G170+L170+Q170+V170+AA170+AF170+AK170+AP170+AU170+AZ170))-(IF(AND('Your debts'!$F$6&lt;&gt;"",'Your debts'!$F$15&lt;&gt;"",'Your debts'!$F$6&lt;'Your debts'!$F$15),H170,0)+IF(AND('Your debts'!$F$7&lt;&gt;"",'Your debts'!$F$15&lt;&gt;"",'Your debts'!$F$7&lt;'Your debts'!$F$15),M170,0)+IF(AND('Your debts'!$F$8&lt;&gt;"",'Your debts'!$F$15&lt;&gt;"",'Your debts'!$F$8&lt;'Your debts'!$F$15),R170,0)+IF(AND('Your debts'!$F$9&lt;&gt;"",'Your debts'!$F$15&lt;&gt;"",'Your debts'!$F$9&lt;'Your debts'!$F$15),W170,0)+IF(AND('Your debts'!$F$10&lt;&gt;"",'Your debts'!$F$15&lt;&gt;"",'Your debts'!$F$10&lt;'Your debts'!$F$15),AB170,0)+IF(AND('Your debts'!$F$11&lt;&gt;"",'Your debts'!$F$15&lt;&gt;"",'Your debts'!$F$11&lt;'Your debts'!$F$15),AG170,0)+IF(AND('Your debts'!$F$12&lt;&gt;"",'Your debts'!$F$15&lt;&gt;"",'Your debts'!$F$12&lt;'Your debts'!$F$15),AL170,0)+IF(AND('Your debts'!$F$13&lt;&gt;"",'Your debts'!$F$15&lt;&gt;"",'Your debts'!$F$13&lt;'Your debts'!$F$15),AQ170,0)+IF(AND('Your debts'!$F$14&lt;&gt;"",'Your debts'!$F$15&lt;&gt;"",'Your debts'!$F$14&lt;'Your debts'!$F$15),AV170,0)))))</f>
        <v/>
      </c>
      <c r="BC170" s="33">
        <f>BA170-BB170</f>
        <v/>
      </c>
    </row>
    <row r="171">
      <c r="A171" s="30" t="n">
        <v>156</v>
      </c>
      <c r="B171" s="31">
        <f>EDATE($B$15,156)</f>
        <v/>
      </c>
      <c r="C171" s="32">
        <f>IF(J170&lt;=0,0,F171-J170)+IF(O170&lt;=0,0,K171-O170)+IF(T170&lt;=0,0,P171-T170)+IF(Y170&lt;=0,0,U171-Y170)+IF(AD170&lt;=0,0,Z171-AD170)+IF(AI170&lt;=0,0,AE171-AI170)+IF(AN170&lt;=0,0,AJ171-AN170)+IF(AS170&lt;=0,0,AO171-AS170)+IF(AX170&lt;=0,0,AT171-AX170)+IF(BC170&lt;=0,0,AY171-BC170)</f>
        <v/>
      </c>
      <c r="D171" s="32">
        <f>G171+I171+L171+N171+Q171+S171+V171+X171+AA171+AC171+AF171+AH171+AK171+AM171+AP171+AR171+AU171+AW171+AZ171+BB171</f>
        <v/>
      </c>
      <c r="E171" s="32">
        <f>J171+O171+T171+Y171+AD171+AI171+AN171+AS171+AX171+BC171</f>
        <v/>
      </c>
      <c r="F171" s="33">
        <f>IF(J170&lt;=0,0,ROUND(J170*(1+'Your debts'!$D$6/1200),2))</f>
        <v/>
      </c>
      <c r="G171" s="33">
        <f>IF(F171&lt;=0,0,MIN('Your debts'!$E$6,F171))</f>
        <v/>
      </c>
      <c r="H171" s="33">
        <f>F171-G171</f>
        <v/>
      </c>
      <c r="I171" s="33">
        <f>IF('Your debts'!$F$6="",0,MIN(H171,MAX(0,MAX(0,'Your debts'!$C$19-(G171+L171+Q171+V171+AA171+AF171+AK171+AP171+AU171+AZ171))-(IF(AND('Your debts'!$F$7&lt;&gt;"",'Your debts'!$F$6&lt;&gt;"",'Your debts'!$F$7&lt;'Your debts'!$F$6),M171,0)+IF(AND('Your debts'!$F$8&lt;&gt;"",'Your debts'!$F$6&lt;&gt;"",'Your debts'!$F$8&lt;'Your debts'!$F$6),R171,0)+IF(AND('Your debts'!$F$9&lt;&gt;"",'Your debts'!$F$6&lt;&gt;"",'Your debts'!$F$9&lt;'Your debts'!$F$6),W171,0)+IF(AND('Your debts'!$F$10&lt;&gt;"",'Your debts'!$F$6&lt;&gt;"",'Your debts'!$F$10&lt;'Your debts'!$F$6),AB171,0)+IF(AND('Your debts'!$F$11&lt;&gt;"",'Your debts'!$F$6&lt;&gt;"",'Your debts'!$F$11&lt;'Your debts'!$F$6),AG171,0)+IF(AND('Your debts'!$F$12&lt;&gt;"",'Your debts'!$F$6&lt;&gt;"",'Your debts'!$F$12&lt;'Your debts'!$F$6),AL171,0)+IF(AND('Your debts'!$F$13&lt;&gt;"",'Your debts'!$F$6&lt;&gt;"",'Your debts'!$F$13&lt;'Your debts'!$F$6),AQ171,0)+IF(AND('Your debts'!$F$14&lt;&gt;"",'Your debts'!$F$6&lt;&gt;"",'Your debts'!$F$14&lt;'Your debts'!$F$6),AV171,0)+IF(AND('Your debts'!$F$15&lt;&gt;"",'Your debts'!$F$6&lt;&gt;"",'Your debts'!$F$15&lt;'Your debts'!$F$6),BA171,0)))))</f>
        <v/>
      </c>
      <c r="J171" s="33">
        <f>H171-I171</f>
        <v/>
      </c>
      <c r="K171" s="33">
        <f>IF(O170&lt;=0,0,ROUND(O170*(1+'Your debts'!$D$7/1200),2))</f>
        <v/>
      </c>
      <c r="L171" s="33">
        <f>IF(K171&lt;=0,0,MIN('Your debts'!$E$7,K171))</f>
        <v/>
      </c>
      <c r="M171" s="33">
        <f>K171-L171</f>
        <v/>
      </c>
      <c r="N171" s="33">
        <f>IF('Your debts'!$F$7="",0,MIN(M171,MAX(0,MAX(0,'Your debts'!$C$19-(G171+L171+Q171+V171+AA171+AF171+AK171+AP171+AU171+AZ171))-(IF(AND('Your debts'!$F$6&lt;&gt;"",'Your debts'!$F$7&lt;&gt;"",'Your debts'!$F$6&lt;'Your debts'!$F$7),H171,0)+IF(AND('Your debts'!$F$8&lt;&gt;"",'Your debts'!$F$7&lt;&gt;"",'Your debts'!$F$8&lt;'Your debts'!$F$7),R171,0)+IF(AND('Your debts'!$F$9&lt;&gt;"",'Your debts'!$F$7&lt;&gt;"",'Your debts'!$F$9&lt;'Your debts'!$F$7),W171,0)+IF(AND('Your debts'!$F$10&lt;&gt;"",'Your debts'!$F$7&lt;&gt;"",'Your debts'!$F$10&lt;'Your debts'!$F$7),AB171,0)+IF(AND('Your debts'!$F$11&lt;&gt;"",'Your debts'!$F$7&lt;&gt;"",'Your debts'!$F$11&lt;'Your debts'!$F$7),AG171,0)+IF(AND('Your debts'!$F$12&lt;&gt;"",'Your debts'!$F$7&lt;&gt;"",'Your debts'!$F$12&lt;'Your debts'!$F$7),AL171,0)+IF(AND('Your debts'!$F$13&lt;&gt;"",'Your debts'!$F$7&lt;&gt;"",'Your debts'!$F$13&lt;'Your debts'!$F$7),AQ171,0)+IF(AND('Your debts'!$F$14&lt;&gt;"",'Your debts'!$F$7&lt;&gt;"",'Your debts'!$F$14&lt;'Your debts'!$F$7),AV171,0)+IF(AND('Your debts'!$F$15&lt;&gt;"",'Your debts'!$F$7&lt;&gt;"",'Your debts'!$F$15&lt;'Your debts'!$F$7),BA171,0)))))</f>
        <v/>
      </c>
      <c r="O171" s="33">
        <f>M171-N171</f>
        <v/>
      </c>
      <c r="P171" s="33">
        <f>IF(T170&lt;=0,0,ROUND(T170*(1+'Your debts'!$D$8/1200),2))</f>
        <v/>
      </c>
      <c r="Q171" s="33">
        <f>IF(P171&lt;=0,0,MIN('Your debts'!$E$8,P171))</f>
        <v/>
      </c>
      <c r="R171" s="33">
        <f>P171-Q171</f>
        <v/>
      </c>
      <c r="S171" s="33">
        <f>IF('Your debts'!$F$8="",0,MIN(R171,MAX(0,MAX(0,'Your debts'!$C$19-(G171+L171+Q171+V171+AA171+AF171+AK171+AP171+AU171+AZ171))-(IF(AND('Your debts'!$F$6&lt;&gt;"",'Your debts'!$F$8&lt;&gt;"",'Your debts'!$F$6&lt;'Your debts'!$F$8),H171,0)+IF(AND('Your debts'!$F$7&lt;&gt;"",'Your debts'!$F$8&lt;&gt;"",'Your debts'!$F$7&lt;'Your debts'!$F$8),M171,0)+IF(AND('Your debts'!$F$9&lt;&gt;"",'Your debts'!$F$8&lt;&gt;"",'Your debts'!$F$9&lt;'Your debts'!$F$8),W171,0)+IF(AND('Your debts'!$F$10&lt;&gt;"",'Your debts'!$F$8&lt;&gt;"",'Your debts'!$F$10&lt;'Your debts'!$F$8),AB171,0)+IF(AND('Your debts'!$F$11&lt;&gt;"",'Your debts'!$F$8&lt;&gt;"",'Your debts'!$F$11&lt;'Your debts'!$F$8),AG171,0)+IF(AND('Your debts'!$F$12&lt;&gt;"",'Your debts'!$F$8&lt;&gt;"",'Your debts'!$F$12&lt;'Your debts'!$F$8),AL171,0)+IF(AND('Your debts'!$F$13&lt;&gt;"",'Your debts'!$F$8&lt;&gt;"",'Your debts'!$F$13&lt;'Your debts'!$F$8),AQ171,0)+IF(AND('Your debts'!$F$14&lt;&gt;"",'Your debts'!$F$8&lt;&gt;"",'Your debts'!$F$14&lt;'Your debts'!$F$8),AV171,0)+IF(AND('Your debts'!$F$15&lt;&gt;"",'Your debts'!$F$8&lt;&gt;"",'Your debts'!$F$15&lt;'Your debts'!$F$8),BA171,0)))))</f>
        <v/>
      </c>
      <c r="T171" s="33">
        <f>R171-S171</f>
        <v/>
      </c>
      <c r="U171" s="33">
        <f>IF(Y170&lt;=0,0,ROUND(Y170*(1+'Your debts'!$D$9/1200),2))</f>
        <v/>
      </c>
      <c r="V171" s="33">
        <f>IF(U171&lt;=0,0,MIN('Your debts'!$E$9,U171))</f>
        <v/>
      </c>
      <c r="W171" s="33">
        <f>U171-V171</f>
        <v/>
      </c>
      <c r="X171" s="33">
        <f>IF('Your debts'!$F$9="",0,MIN(W171,MAX(0,MAX(0,'Your debts'!$C$19-(G171+L171+Q171+V171+AA171+AF171+AK171+AP171+AU171+AZ171))-(IF(AND('Your debts'!$F$6&lt;&gt;"",'Your debts'!$F$9&lt;&gt;"",'Your debts'!$F$6&lt;'Your debts'!$F$9),H171,0)+IF(AND('Your debts'!$F$7&lt;&gt;"",'Your debts'!$F$9&lt;&gt;"",'Your debts'!$F$7&lt;'Your debts'!$F$9),M171,0)+IF(AND('Your debts'!$F$8&lt;&gt;"",'Your debts'!$F$9&lt;&gt;"",'Your debts'!$F$8&lt;'Your debts'!$F$9),R171,0)+IF(AND('Your debts'!$F$10&lt;&gt;"",'Your debts'!$F$9&lt;&gt;"",'Your debts'!$F$10&lt;'Your debts'!$F$9),AB171,0)+IF(AND('Your debts'!$F$11&lt;&gt;"",'Your debts'!$F$9&lt;&gt;"",'Your debts'!$F$11&lt;'Your debts'!$F$9),AG171,0)+IF(AND('Your debts'!$F$12&lt;&gt;"",'Your debts'!$F$9&lt;&gt;"",'Your debts'!$F$12&lt;'Your debts'!$F$9),AL171,0)+IF(AND('Your debts'!$F$13&lt;&gt;"",'Your debts'!$F$9&lt;&gt;"",'Your debts'!$F$13&lt;'Your debts'!$F$9),AQ171,0)+IF(AND('Your debts'!$F$14&lt;&gt;"",'Your debts'!$F$9&lt;&gt;"",'Your debts'!$F$14&lt;'Your debts'!$F$9),AV171,0)+IF(AND('Your debts'!$F$15&lt;&gt;"",'Your debts'!$F$9&lt;&gt;"",'Your debts'!$F$15&lt;'Your debts'!$F$9),BA171,0)))))</f>
        <v/>
      </c>
      <c r="Y171" s="33">
        <f>W171-X171</f>
        <v/>
      </c>
      <c r="Z171" s="33">
        <f>IF(AD170&lt;=0,0,ROUND(AD170*(1+'Your debts'!$D$10/1200),2))</f>
        <v/>
      </c>
      <c r="AA171" s="33">
        <f>IF(Z171&lt;=0,0,MIN('Your debts'!$E$10,Z171))</f>
        <v/>
      </c>
      <c r="AB171" s="33">
        <f>Z171-AA171</f>
        <v/>
      </c>
      <c r="AC171" s="33">
        <f>IF('Your debts'!$F$10="",0,MIN(AB171,MAX(0,MAX(0,'Your debts'!$C$19-(G171+L171+Q171+V171+AA171+AF171+AK171+AP171+AU171+AZ171))-(IF(AND('Your debts'!$F$6&lt;&gt;"",'Your debts'!$F$10&lt;&gt;"",'Your debts'!$F$6&lt;'Your debts'!$F$10),H171,0)+IF(AND('Your debts'!$F$7&lt;&gt;"",'Your debts'!$F$10&lt;&gt;"",'Your debts'!$F$7&lt;'Your debts'!$F$10),M171,0)+IF(AND('Your debts'!$F$8&lt;&gt;"",'Your debts'!$F$10&lt;&gt;"",'Your debts'!$F$8&lt;'Your debts'!$F$10),R171,0)+IF(AND('Your debts'!$F$9&lt;&gt;"",'Your debts'!$F$10&lt;&gt;"",'Your debts'!$F$9&lt;'Your debts'!$F$10),W171,0)+IF(AND('Your debts'!$F$11&lt;&gt;"",'Your debts'!$F$10&lt;&gt;"",'Your debts'!$F$11&lt;'Your debts'!$F$10),AG171,0)+IF(AND('Your debts'!$F$12&lt;&gt;"",'Your debts'!$F$10&lt;&gt;"",'Your debts'!$F$12&lt;'Your debts'!$F$10),AL171,0)+IF(AND('Your debts'!$F$13&lt;&gt;"",'Your debts'!$F$10&lt;&gt;"",'Your debts'!$F$13&lt;'Your debts'!$F$10),AQ171,0)+IF(AND('Your debts'!$F$14&lt;&gt;"",'Your debts'!$F$10&lt;&gt;"",'Your debts'!$F$14&lt;'Your debts'!$F$10),AV171,0)+IF(AND('Your debts'!$F$15&lt;&gt;"",'Your debts'!$F$10&lt;&gt;"",'Your debts'!$F$15&lt;'Your debts'!$F$10),BA171,0)))))</f>
        <v/>
      </c>
      <c r="AD171" s="33">
        <f>AB171-AC171</f>
        <v/>
      </c>
      <c r="AE171" s="33">
        <f>IF(AI170&lt;=0,0,ROUND(AI170*(1+'Your debts'!$D$11/1200),2))</f>
        <v/>
      </c>
      <c r="AF171" s="33">
        <f>IF(AE171&lt;=0,0,MIN('Your debts'!$E$11,AE171))</f>
        <v/>
      </c>
      <c r="AG171" s="33">
        <f>AE171-AF171</f>
        <v/>
      </c>
      <c r="AH171" s="33">
        <f>IF('Your debts'!$F$11="",0,MIN(AG171,MAX(0,MAX(0,'Your debts'!$C$19-(G171+L171+Q171+V171+AA171+AF171+AK171+AP171+AU171+AZ171))-(IF(AND('Your debts'!$F$6&lt;&gt;"",'Your debts'!$F$11&lt;&gt;"",'Your debts'!$F$6&lt;'Your debts'!$F$11),H171,0)+IF(AND('Your debts'!$F$7&lt;&gt;"",'Your debts'!$F$11&lt;&gt;"",'Your debts'!$F$7&lt;'Your debts'!$F$11),M171,0)+IF(AND('Your debts'!$F$8&lt;&gt;"",'Your debts'!$F$11&lt;&gt;"",'Your debts'!$F$8&lt;'Your debts'!$F$11),R171,0)+IF(AND('Your debts'!$F$9&lt;&gt;"",'Your debts'!$F$11&lt;&gt;"",'Your debts'!$F$9&lt;'Your debts'!$F$11),W171,0)+IF(AND('Your debts'!$F$10&lt;&gt;"",'Your debts'!$F$11&lt;&gt;"",'Your debts'!$F$10&lt;'Your debts'!$F$11),AB171,0)+IF(AND('Your debts'!$F$12&lt;&gt;"",'Your debts'!$F$11&lt;&gt;"",'Your debts'!$F$12&lt;'Your debts'!$F$11),AL171,0)+IF(AND('Your debts'!$F$13&lt;&gt;"",'Your debts'!$F$11&lt;&gt;"",'Your debts'!$F$13&lt;'Your debts'!$F$11),AQ171,0)+IF(AND('Your debts'!$F$14&lt;&gt;"",'Your debts'!$F$11&lt;&gt;"",'Your debts'!$F$14&lt;'Your debts'!$F$11),AV171,0)+IF(AND('Your debts'!$F$15&lt;&gt;"",'Your debts'!$F$11&lt;&gt;"",'Your debts'!$F$15&lt;'Your debts'!$F$11),BA171,0)))))</f>
        <v/>
      </c>
      <c r="AI171" s="33">
        <f>AG171-AH171</f>
        <v/>
      </c>
      <c r="AJ171" s="33">
        <f>IF(AN170&lt;=0,0,ROUND(AN170*(1+'Your debts'!$D$12/1200),2))</f>
        <v/>
      </c>
      <c r="AK171" s="33">
        <f>IF(AJ171&lt;=0,0,MIN('Your debts'!$E$12,AJ171))</f>
        <v/>
      </c>
      <c r="AL171" s="33">
        <f>AJ171-AK171</f>
        <v/>
      </c>
      <c r="AM171" s="33">
        <f>IF('Your debts'!$F$12="",0,MIN(AL171,MAX(0,MAX(0,'Your debts'!$C$19-(G171+L171+Q171+V171+AA171+AF171+AK171+AP171+AU171+AZ171))-(IF(AND('Your debts'!$F$6&lt;&gt;"",'Your debts'!$F$12&lt;&gt;"",'Your debts'!$F$6&lt;'Your debts'!$F$12),H171,0)+IF(AND('Your debts'!$F$7&lt;&gt;"",'Your debts'!$F$12&lt;&gt;"",'Your debts'!$F$7&lt;'Your debts'!$F$12),M171,0)+IF(AND('Your debts'!$F$8&lt;&gt;"",'Your debts'!$F$12&lt;&gt;"",'Your debts'!$F$8&lt;'Your debts'!$F$12),R171,0)+IF(AND('Your debts'!$F$9&lt;&gt;"",'Your debts'!$F$12&lt;&gt;"",'Your debts'!$F$9&lt;'Your debts'!$F$12),W171,0)+IF(AND('Your debts'!$F$10&lt;&gt;"",'Your debts'!$F$12&lt;&gt;"",'Your debts'!$F$10&lt;'Your debts'!$F$12),AB171,0)+IF(AND('Your debts'!$F$11&lt;&gt;"",'Your debts'!$F$12&lt;&gt;"",'Your debts'!$F$11&lt;'Your debts'!$F$12),AG171,0)+IF(AND('Your debts'!$F$13&lt;&gt;"",'Your debts'!$F$12&lt;&gt;"",'Your debts'!$F$13&lt;'Your debts'!$F$12),AQ171,0)+IF(AND('Your debts'!$F$14&lt;&gt;"",'Your debts'!$F$12&lt;&gt;"",'Your debts'!$F$14&lt;'Your debts'!$F$12),AV171,0)+IF(AND('Your debts'!$F$15&lt;&gt;"",'Your debts'!$F$12&lt;&gt;"",'Your debts'!$F$15&lt;'Your debts'!$F$12),BA171,0)))))</f>
        <v/>
      </c>
      <c r="AN171" s="33">
        <f>AL171-AM171</f>
        <v/>
      </c>
      <c r="AO171" s="33">
        <f>IF(AS170&lt;=0,0,ROUND(AS170*(1+'Your debts'!$D$13/1200),2))</f>
        <v/>
      </c>
      <c r="AP171" s="33">
        <f>IF(AO171&lt;=0,0,MIN('Your debts'!$E$13,AO171))</f>
        <v/>
      </c>
      <c r="AQ171" s="33">
        <f>AO171-AP171</f>
        <v/>
      </c>
      <c r="AR171" s="33">
        <f>IF('Your debts'!$F$13="",0,MIN(AQ171,MAX(0,MAX(0,'Your debts'!$C$19-(G171+L171+Q171+V171+AA171+AF171+AK171+AP171+AU171+AZ171))-(IF(AND('Your debts'!$F$6&lt;&gt;"",'Your debts'!$F$13&lt;&gt;"",'Your debts'!$F$6&lt;'Your debts'!$F$13),H171,0)+IF(AND('Your debts'!$F$7&lt;&gt;"",'Your debts'!$F$13&lt;&gt;"",'Your debts'!$F$7&lt;'Your debts'!$F$13),M171,0)+IF(AND('Your debts'!$F$8&lt;&gt;"",'Your debts'!$F$13&lt;&gt;"",'Your debts'!$F$8&lt;'Your debts'!$F$13),R171,0)+IF(AND('Your debts'!$F$9&lt;&gt;"",'Your debts'!$F$13&lt;&gt;"",'Your debts'!$F$9&lt;'Your debts'!$F$13),W171,0)+IF(AND('Your debts'!$F$10&lt;&gt;"",'Your debts'!$F$13&lt;&gt;"",'Your debts'!$F$10&lt;'Your debts'!$F$13),AB171,0)+IF(AND('Your debts'!$F$11&lt;&gt;"",'Your debts'!$F$13&lt;&gt;"",'Your debts'!$F$11&lt;'Your debts'!$F$13),AG171,0)+IF(AND('Your debts'!$F$12&lt;&gt;"",'Your debts'!$F$13&lt;&gt;"",'Your debts'!$F$12&lt;'Your debts'!$F$13),AL171,0)+IF(AND('Your debts'!$F$14&lt;&gt;"",'Your debts'!$F$13&lt;&gt;"",'Your debts'!$F$14&lt;'Your debts'!$F$13),AV171,0)+IF(AND('Your debts'!$F$15&lt;&gt;"",'Your debts'!$F$13&lt;&gt;"",'Your debts'!$F$15&lt;'Your debts'!$F$13),BA171,0)))))</f>
        <v/>
      </c>
      <c r="AS171" s="33">
        <f>AQ171-AR171</f>
        <v/>
      </c>
      <c r="AT171" s="33">
        <f>IF(AX170&lt;=0,0,ROUND(AX170*(1+'Your debts'!$D$14/1200),2))</f>
        <v/>
      </c>
      <c r="AU171" s="33">
        <f>IF(AT171&lt;=0,0,MIN('Your debts'!$E$14,AT171))</f>
        <v/>
      </c>
      <c r="AV171" s="33">
        <f>AT171-AU171</f>
        <v/>
      </c>
      <c r="AW171" s="33">
        <f>IF('Your debts'!$F$14="",0,MIN(AV171,MAX(0,MAX(0,'Your debts'!$C$19-(G171+L171+Q171+V171+AA171+AF171+AK171+AP171+AU171+AZ171))-(IF(AND('Your debts'!$F$6&lt;&gt;"",'Your debts'!$F$14&lt;&gt;"",'Your debts'!$F$6&lt;'Your debts'!$F$14),H171,0)+IF(AND('Your debts'!$F$7&lt;&gt;"",'Your debts'!$F$14&lt;&gt;"",'Your debts'!$F$7&lt;'Your debts'!$F$14),M171,0)+IF(AND('Your debts'!$F$8&lt;&gt;"",'Your debts'!$F$14&lt;&gt;"",'Your debts'!$F$8&lt;'Your debts'!$F$14),R171,0)+IF(AND('Your debts'!$F$9&lt;&gt;"",'Your debts'!$F$14&lt;&gt;"",'Your debts'!$F$9&lt;'Your debts'!$F$14),W171,0)+IF(AND('Your debts'!$F$10&lt;&gt;"",'Your debts'!$F$14&lt;&gt;"",'Your debts'!$F$10&lt;'Your debts'!$F$14),AB171,0)+IF(AND('Your debts'!$F$11&lt;&gt;"",'Your debts'!$F$14&lt;&gt;"",'Your debts'!$F$11&lt;'Your debts'!$F$14),AG171,0)+IF(AND('Your debts'!$F$12&lt;&gt;"",'Your debts'!$F$14&lt;&gt;"",'Your debts'!$F$12&lt;'Your debts'!$F$14),AL171,0)+IF(AND('Your debts'!$F$13&lt;&gt;"",'Your debts'!$F$14&lt;&gt;"",'Your debts'!$F$13&lt;'Your debts'!$F$14),AQ171,0)+IF(AND('Your debts'!$F$15&lt;&gt;"",'Your debts'!$F$14&lt;&gt;"",'Your debts'!$F$15&lt;'Your debts'!$F$14),BA171,0)))))</f>
        <v/>
      </c>
      <c r="AX171" s="33">
        <f>AV171-AW171</f>
        <v/>
      </c>
      <c r="AY171" s="33">
        <f>IF(BC170&lt;=0,0,ROUND(BC170*(1+'Your debts'!$D$15/1200),2))</f>
        <v/>
      </c>
      <c r="AZ171" s="33">
        <f>IF(AY171&lt;=0,0,MIN('Your debts'!$E$15,AY171))</f>
        <v/>
      </c>
      <c r="BA171" s="33">
        <f>AY171-AZ171</f>
        <v/>
      </c>
      <c r="BB171" s="33">
        <f>IF('Your debts'!$F$15="",0,MIN(BA171,MAX(0,MAX(0,'Your debts'!$C$19-(G171+L171+Q171+V171+AA171+AF171+AK171+AP171+AU171+AZ171))-(IF(AND('Your debts'!$F$6&lt;&gt;"",'Your debts'!$F$15&lt;&gt;"",'Your debts'!$F$6&lt;'Your debts'!$F$15),H171,0)+IF(AND('Your debts'!$F$7&lt;&gt;"",'Your debts'!$F$15&lt;&gt;"",'Your debts'!$F$7&lt;'Your debts'!$F$15),M171,0)+IF(AND('Your debts'!$F$8&lt;&gt;"",'Your debts'!$F$15&lt;&gt;"",'Your debts'!$F$8&lt;'Your debts'!$F$15),R171,0)+IF(AND('Your debts'!$F$9&lt;&gt;"",'Your debts'!$F$15&lt;&gt;"",'Your debts'!$F$9&lt;'Your debts'!$F$15),W171,0)+IF(AND('Your debts'!$F$10&lt;&gt;"",'Your debts'!$F$15&lt;&gt;"",'Your debts'!$F$10&lt;'Your debts'!$F$15),AB171,0)+IF(AND('Your debts'!$F$11&lt;&gt;"",'Your debts'!$F$15&lt;&gt;"",'Your debts'!$F$11&lt;'Your debts'!$F$15),AG171,0)+IF(AND('Your debts'!$F$12&lt;&gt;"",'Your debts'!$F$15&lt;&gt;"",'Your debts'!$F$12&lt;'Your debts'!$F$15),AL171,0)+IF(AND('Your debts'!$F$13&lt;&gt;"",'Your debts'!$F$15&lt;&gt;"",'Your debts'!$F$13&lt;'Your debts'!$F$15),AQ171,0)+IF(AND('Your debts'!$F$14&lt;&gt;"",'Your debts'!$F$15&lt;&gt;"",'Your debts'!$F$14&lt;'Your debts'!$F$15),AV171,0)))))</f>
        <v/>
      </c>
      <c r="BC171" s="33">
        <f>BA171-BB171</f>
        <v/>
      </c>
    </row>
    <row r="172">
      <c r="A172" s="30" t="n">
        <v>157</v>
      </c>
      <c r="B172" s="31">
        <f>EDATE($B$15,157)</f>
        <v/>
      </c>
      <c r="C172" s="32">
        <f>IF(J171&lt;=0,0,F172-J171)+IF(O171&lt;=0,0,K172-O171)+IF(T171&lt;=0,0,P172-T171)+IF(Y171&lt;=0,0,U172-Y171)+IF(AD171&lt;=0,0,Z172-AD171)+IF(AI171&lt;=0,0,AE172-AI171)+IF(AN171&lt;=0,0,AJ172-AN171)+IF(AS171&lt;=0,0,AO172-AS171)+IF(AX171&lt;=0,0,AT172-AX171)+IF(BC171&lt;=0,0,AY172-BC171)</f>
        <v/>
      </c>
      <c r="D172" s="32">
        <f>G172+I172+L172+N172+Q172+S172+V172+X172+AA172+AC172+AF172+AH172+AK172+AM172+AP172+AR172+AU172+AW172+AZ172+BB172</f>
        <v/>
      </c>
      <c r="E172" s="32">
        <f>J172+O172+T172+Y172+AD172+AI172+AN172+AS172+AX172+BC172</f>
        <v/>
      </c>
      <c r="F172" s="33">
        <f>IF(J171&lt;=0,0,ROUND(J171*(1+'Your debts'!$D$6/1200),2))</f>
        <v/>
      </c>
      <c r="G172" s="33">
        <f>IF(F172&lt;=0,0,MIN('Your debts'!$E$6,F172))</f>
        <v/>
      </c>
      <c r="H172" s="33">
        <f>F172-G172</f>
        <v/>
      </c>
      <c r="I172" s="33">
        <f>IF('Your debts'!$F$6="",0,MIN(H172,MAX(0,MAX(0,'Your debts'!$C$19-(G172+L172+Q172+V172+AA172+AF172+AK172+AP172+AU172+AZ172))-(IF(AND('Your debts'!$F$7&lt;&gt;"",'Your debts'!$F$6&lt;&gt;"",'Your debts'!$F$7&lt;'Your debts'!$F$6),M172,0)+IF(AND('Your debts'!$F$8&lt;&gt;"",'Your debts'!$F$6&lt;&gt;"",'Your debts'!$F$8&lt;'Your debts'!$F$6),R172,0)+IF(AND('Your debts'!$F$9&lt;&gt;"",'Your debts'!$F$6&lt;&gt;"",'Your debts'!$F$9&lt;'Your debts'!$F$6),W172,0)+IF(AND('Your debts'!$F$10&lt;&gt;"",'Your debts'!$F$6&lt;&gt;"",'Your debts'!$F$10&lt;'Your debts'!$F$6),AB172,0)+IF(AND('Your debts'!$F$11&lt;&gt;"",'Your debts'!$F$6&lt;&gt;"",'Your debts'!$F$11&lt;'Your debts'!$F$6),AG172,0)+IF(AND('Your debts'!$F$12&lt;&gt;"",'Your debts'!$F$6&lt;&gt;"",'Your debts'!$F$12&lt;'Your debts'!$F$6),AL172,0)+IF(AND('Your debts'!$F$13&lt;&gt;"",'Your debts'!$F$6&lt;&gt;"",'Your debts'!$F$13&lt;'Your debts'!$F$6),AQ172,0)+IF(AND('Your debts'!$F$14&lt;&gt;"",'Your debts'!$F$6&lt;&gt;"",'Your debts'!$F$14&lt;'Your debts'!$F$6),AV172,0)+IF(AND('Your debts'!$F$15&lt;&gt;"",'Your debts'!$F$6&lt;&gt;"",'Your debts'!$F$15&lt;'Your debts'!$F$6),BA172,0)))))</f>
        <v/>
      </c>
      <c r="J172" s="33">
        <f>H172-I172</f>
        <v/>
      </c>
      <c r="K172" s="33">
        <f>IF(O171&lt;=0,0,ROUND(O171*(1+'Your debts'!$D$7/1200),2))</f>
        <v/>
      </c>
      <c r="L172" s="33">
        <f>IF(K172&lt;=0,0,MIN('Your debts'!$E$7,K172))</f>
        <v/>
      </c>
      <c r="M172" s="33">
        <f>K172-L172</f>
        <v/>
      </c>
      <c r="N172" s="33">
        <f>IF('Your debts'!$F$7="",0,MIN(M172,MAX(0,MAX(0,'Your debts'!$C$19-(G172+L172+Q172+V172+AA172+AF172+AK172+AP172+AU172+AZ172))-(IF(AND('Your debts'!$F$6&lt;&gt;"",'Your debts'!$F$7&lt;&gt;"",'Your debts'!$F$6&lt;'Your debts'!$F$7),H172,0)+IF(AND('Your debts'!$F$8&lt;&gt;"",'Your debts'!$F$7&lt;&gt;"",'Your debts'!$F$8&lt;'Your debts'!$F$7),R172,0)+IF(AND('Your debts'!$F$9&lt;&gt;"",'Your debts'!$F$7&lt;&gt;"",'Your debts'!$F$9&lt;'Your debts'!$F$7),W172,0)+IF(AND('Your debts'!$F$10&lt;&gt;"",'Your debts'!$F$7&lt;&gt;"",'Your debts'!$F$10&lt;'Your debts'!$F$7),AB172,0)+IF(AND('Your debts'!$F$11&lt;&gt;"",'Your debts'!$F$7&lt;&gt;"",'Your debts'!$F$11&lt;'Your debts'!$F$7),AG172,0)+IF(AND('Your debts'!$F$12&lt;&gt;"",'Your debts'!$F$7&lt;&gt;"",'Your debts'!$F$12&lt;'Your debts'!$F$7),AL172,0)+IF(AND('Your debts'!$F$13&lt;&gt;"",'Your debts'!$F$7&lt;&gt;"",'Your debts'!$F$13&lt;'Your debts'!$F$7),AQ172,0)+IF(AND('Your debts'!$F$14&lt;&gt;"",'Your debts'!$F$7&lt;&gt;"",'Your debts'!$F$14&lt;'Your debts'!$F$7),AV172,0)+IF(AND('Your debts'!$F$15&lt;&gt;"",'Your debts'!$F$7&lt;&gt;"",'Your debts'!$F$15&lt;'Your debts'!$F$7),BA172,0)))))</f>
        <v/>
      </c>
      <c r="O172" s="33">
        <f>M172-N172</f>
        <v/>
      </c>
      <c r="P172" s="33">
        <f>IF(T171&lt;=0,0,ROUND(T171*(1+'Your debts'!$D$8/1200),2))</f>
        <v/>
      </c>
      <c r="Q172" s="33">
        <f>IF(P172&lt;=0,0,MIN('Your debts'!$E$8,P172))</f>
        <v/>
      </c>
      <c r="R172" s="33">
        <f>P172-Q172</f>
        <v/>
      </c>
      <c r="S172" s="33">
        <f>IF('Your debts'!$F$8="",0,MIN(R172,MAX(0,MAX(0,'Your debts'!$C$19-(G172+L172+Q172+V172+AA172+AF172+AK172+AP172+AU172+AZ172))-(IF(AND('Your debts'!$F$6&lt;&gt;"",'Your debts'!$F$8&lt;&gt;"",'Your debts'!$F$6&lt;'Your debts'!$F$8),H172,0)+IF(AND('Your debts'!$F$7&lt;&gt;"",'Your debts'!$F$8&lt;&gt;"",'Your debts'!$F$7&lt;'Your debts'!$F$8),M172,0)+IF(AND('Your debts'!$F$9&lt;&gt;"",'Your debts'!$F$8&lt;&gt;"",'Your debts'!$F$9&lt;'Your debts'!$F$8),W172,0)+IF(AND('Your debts'!$F$10&lt;&gt;"",'Your debts'!$F$8&lt;&gt;"",'Your debts'!$F$10&lt;'Your debts'!$F$8),AB172,0)+IF(AND('Your debts'!$F$11&lt;&gt;"",'Your debts'!$F$8&lt;&gt;"",'Your debts'!$F$11&lt;'Your debts'!$F$8),AG172,0)+IF(AND('Your debts'!$F$12&lt;&gt;"",'Your debts'!$F$8&lt;&gt;"",'Your debts'!$F$12&lt;'Your debts'!$F$8),AL172,0)+IF(AND('Your debts'!$F$13&lt;&gt;"",'Your debts'!$F$8&lt;&gt;"",'Your debts'!$F$13&lt;'Your debts'!$F$8),AQ172,0)+IF(AND('Your debts'!$F$14&lt;&gt;"",'Your debts'!$F$8&lt;&gt;"",'Your debts'!$F$14&lt;'Your debts'!$F$8),AV172,0)+IF(AND('Your debts'!$F$15&lt;&gt;"",'Your debts'!$F$8&lt;&gt;"",'Your debts'!$F$15&lt;'Your debts'!$F$8),BA172,0)))))</f>
        <v/>
      </c>
      <c r="T172" s="33">
        <f>R172-S172</f>
        <v/>
      </c>
      <c r="U172" s="33">
        <f>IF(Y171&lt;=0,0,ROUND(Y171*(1+'Your debts'!$D$9/1200),2))</f>
        <v/>
      </c>
      <c r="V172" s="33">
        <f>IF(U172&lt;=0,0,MIN('Your debts'!$E$9,U172))</f>
        <v/>
      </c>
      <c r="W172" s="33">
        <f>U172-V172</f>
        <v/>
      </c>
      <c r="X172" s="33">
        <f>IF('Your debts'!$F$9="",0,MIN(W172,MAX(0,MAX(0,'Your debts'!$C$19-(G172+L172+Q172+V172+AA172+AF172+AK172+AP172+AU172+AZ172))-(IF(AND('Your debts'!$F$6&lt;&gt;"",'Your debts'!$F$9&lt;&gt;"",'Your debts'!$F$6&lt;'Your debts'!$F$9),H172,0)+IF(AND('Your debts'!$F$7&lt;&gt;"",'Your debts'!$F$9&lt;&gt;"",'Your debts'!$F$7&lt;'Your debts'!$F$9),M172,0)+IF(AND('Your debts'!$F$8&lt;&gt;"",'Your debts'!$F$9&lt;&gt;"",'Your debts'!$F$8&lt;'Your debts'!$F$9),R172,0)+IF(AND('Your debts'!$F$10&lt;&gt;"",'Your debts'!$F$9&lt;&gt;"",'Your debts'!$F$10&lt;'Your debts'!$F$9),AB172,0)+IF(AND('Your debts'!$F$11&lt;&gt;"",'Your debts'!$F$9&lt;&gt;"",'Your debts'!$F$11&lt;'Your debts'!$F$9),AG172,0)+IF(AND('Your debts'!$F$12&lt;&gt;"",'Your debts'!$F$9&lt;&gt;"",'Your debts'!$F$12&lt;'Your debts'!$F$9),AL172,0)+IF(AND('Your debts'!$F$13&lt;&gt;"",'Your debts'!$F$9&lt;&gt;"",'Your debts'!$F$13&lt;'Your debts'!$F$9),AQ172,0)+IF(AND('Your debts'!$F$14&lt;&gt;"",'Your debts'!$F$9&lt;&gt;"",'Your debts'!$F$14&lt;'Your debts'!$F$9),AV172,0)+IF(AND('Your debts'!$F$15&lt;&gt;"",'Your debts'!$F$9&lt;&gt;"",'Your debts'!$F$15&lt;'Your debts'!$F$9),BA172,0)))))</f>
        <v/>
      </c>
      <c r="Y172" s="33">
        <f>W172-X172</f>
        <v/>
      </c>
      <c r="Z172" s="33">
        <f>IF(AD171&lt;=0,0,ROUND(AD171*(1+'Your debts'!$D$10/1200),2))</f>
        <v/>
      </c>
      <c r="AA172" s="33">
        <f>IF(Z172&lt;=0,0,MIN('Your debts'!$E$10,Z172))</f>
        <v/>
      </c>
      <c r="AB172" s="33">
        <f>Z172-AA172</f>
        <v/>
      </c>
      <c r="AC172" s="33">
        <f>IF('Your debts'!$F$10="",0,MIN(AB172,MAX(0,MAX(0,'Your debts'!$C$19-(G172+L172+Q172+V172+AA172+AF172+AK172+AP172+AU172+AZ172))-(IF(AND('Your debts'!$F$6&lt;&gt;"",'Your debts'!$F$10&lt;&gt;"",'Your debts'!$F$6&lt;'Your debts'!$F$10),H172,0)+IF(AND('Your debts'!$F$7&lt;&gt;"",'Your debts'!$F$10&lt;&gt;"",'Your debts'!$F$7&lt;'Your debts'!$F$10),M172,0)+IF(AND('Your debts'!$F$8&lt;&gt;"",'Your debts'!$F$10&lt;&gt;"",'Your debts'!$F$8&lt;'Your debts'!$F$10),R172,0)+IF(AND('Your debts'!$F$9&lt;&gt;"",'Your debts'!$F$10&lt;&gt;"",'Your debts'!$F$9&lt;'Your debts'!$F$10),W172,0)+IF(AND('Your debts'!$F$11&lt;&gt;"",'Your debts'!$F$10&lt;&gt;"",'Your debts'!$F$11&lt;'Your debts'!$F$10),AG172,0)+IF(AND('Your debts'!$F$12&lt;&gt;"",'Your debts'!$F$10&lt;&gt;"",'Your debts'!$F$12&lt;'Your debts'!$F$10),AL172,0)+IF(AND('Your debts'!$F$13&lt;&gt;"",'Your debts'!$F$10&lt;&gt;"",'Your debts'!$F$13&lt;'Your debts'!$F$10),AQ172,0)+IF(AND('Your debts'!$F$14&lt;&gt;"",'Your debts'!$F$10&lt;&gt;"",'Your debts'!$F$14&lt;'Your debts'!$F$10),AV172,0)+IF(AND('Your debts'!$F$15&lt;&gt;"",'Your debts'!$F$10&lt;&gt;"",'Your debts'!$F$15&lt;'Your debts'!$F$10),BA172,0)))))</f>
        <v/>
      </c>
      <c r="AD172" s="33">
        <f>AB172-AC172</f>
        <v/>
      </c>
      <c r="AE172" s="33">
        <f>IF(AI171&lt;=0,0,ROUND(AI171*(1+'Your debts'!$D$11/1200),2))</f>
        <v/>
      </c>
      <c r="AF172" s="33">
        <f>IF(AE172&lt;=0,0,MIN('Your debts'!$E$11,AE172))</f>
        <v/>
      </c>
      <c r="AG172" s="33">
        <f>AE172-AF172</f>
        <v/>
      </c>
      <c r="AH172" s="33">
        <f>IF('Your debts'!$F$11="",0,MIN(AG172,MAX(0,MAX(0,'Your debts'!$C$19-(G172+L172+Q172+V172+AA172+AF172+AK172+AP172+AU172+AZ172))-(IF(AND('Your debts'!$F$6&lt;&gt;"",'Your debts'!$F$11&lt;&gt;"",'Your debts'!$F$6&lt;'Your debts'!$F$11),H172,0)+IF(AND('Your debts'!$F$7&lt;&gt;"",'Your debts'!$F$11&lt;&gt;"",'Your debts'!$F$7&lt;'Your debts'!$F$11),M172,0)+IF(AND('Your debts'!$F$8&lt;&gt;"",'Your debts'!$F$11&lt;&gt;"",'Your debts'!$F$8&lt;'Your debts'!$F$11),R172,0)+IF(AND('Your debts'!$F$9&lt;&gt;"",'Your debts'!$F$11&lt;&gt;"",'Your debts'!$F$9&lt;'Your debts'!$F$11),W172,0)+IF(AND('Your debts'!$F$10&lt;&gt;"",'Your debts'!$F$11&lt;&gt;"",'Your debts'!$F$10&lt;'Your debts'!$F$11),AB172,0)+IF(AND('Your debts'!$F$12&lt;&gt;"",'Your debts'!$F$11&lt;&gt;"",'Your debts'!$F$12&lt;'Your debts'!$F$11),AL172,0)+IF(AND('Your debts'!$F$13&lt;&gt;"",'Your debts'!$F$11&lt;&gt;"",'Your debts'!$F$13&lt;'Your debts'!$F$11),AQ172,0)+IF(AND('Your debts'!$F$14&lt;&gt;"",'Your debts'!$F$11&lt;&gt;"",'Your debts'!$F$14&lt;'Your debts'!$F$11),AV172,0)+IF(AND('Your debts'!$F$15&lt;&gt;"",'Your debts'!$F$11&lt;&gt;"",'Your debts'!$F$15&lt;'Your debts'!$F$11),BA172,0)))))</f>
        <v/>
      </c>
      <c r="AI172" s="33">
        <f>AG172-AH172</f>
        <v/>
      </c>
      <c r="AJ172" s="33">
        <f>IF(AN171&lt;=0,0,ROUND(AN171*(1+'Your debts'!$D$12/1200),2))</f>
        <v/>
      </c>
      <c r="AK172" s="33">
        <f>IF(AJ172&lt;=0,0,MIN('Your debts'!$E$12,AJ172))</f>
        <v/>
      </c>
      <c r="AL172" s="33">
        <f>AJ172-AK172</f>
        <v/>
      </c>
      <c r="AM172" s="33">
        <f>IF('Your debts'!$F$12="",0,MIN(AL172,MAX(0,MAX(0,'Your debts'!$C$19-(G172+L172+Q172+V172+AA172+AF172+AK172+AP172+AU172+AZ172))-(IF(AND('Your debts'!$F$6&lt;&gt;"",'Your debts'!$F$12&lt;&gt;"",'Your debts'!$F$6&lt;'Your debts'!$F$12),H172,0)+IF(AND('Your debts'!$F$7&lt;&gt;"",'Your debts'!$F$12&lt;&gt;"",'Your debts'!$F$7&lt;'Your debts'!$F$12),M172,0)+IF(AND('Your debts'!$F$8&lt;&gt;"",'Your debts'!$F$12&lt;&gt;"",'Your debts'!$F$8&lt;'Your debts'!$F$12),R172,0)+IF(AND('Your debts'!$F$9&lt;&gt;"",'Your debts'!$F$12&lt;&gt;"",'Your debts'!$F$9&lt;'Your debts'!$F$12),W172,0)+IF(AND('Your debts'!$F$10&lt;&gt;"",'Your debts'!$F$12&lt;&gt;"",'Your debts'!$F$10&lt;'Your debts'!$F$12),AB172,0)+IF(AND('Your debts'!$F$11&lt;&gt;"",'Your debts'!$F$12&lt;&gt;"",'Your debts'!$F$11&lt;'Your debts'!$F$12),AG172,0)+IF(AND('Your debts'!$F$13&lt;&gt;"",'Your debts'!$F$12&lt;&gt;"",'Your debts'!$F$13&lt;'Your debts'!$F$12),AQ172,0)+IF(AND('Your debts'!$F$14&lt;&gt;"",'Your debts'!$F$12&lt;&gt;"",'Your debts'!$F$14&lt;'Your debts'!$F$12),AV172,0)+IF(AND('Your debts'!$F$15&lt;&gt;"",'Your debts'!$F$12&lt;&gt;"",'Your debts'!$F$15&lt;'Your debts'!$F$12),BA172,0)))))</f>
        <v/>
      </c>
      <c r="AN172" s="33">
        <f>AL172-AM172</f>
        <v/>
      </c>
      <c r="AO172" s="33">
        <f>IF(AS171&lt;=0,0,ROUND(AS171*(1+'Your debts'!$D$13/1200),2))</f>
        <v/>
      </c>
      <c r="AP172" s="33">
        <f>IF(AO172&lt;=0,0,MIN('Your debts'!$E$13,AO172))</f>
        <v/>
      </c>
      <c r="AQ172" s="33">
        <f>AO172-AP172</f>
        <v/>
      </c>
      <c r="AR172" s="33">
        <f>IF('Your debts'!$F$13="",0,MIN(AQ172,MAX(0,MAX(0,'Your debts'!$C$19-(G172+L172+Q172+V172+AA172+AF172+AK172+AP172+AU172+AZ172))-(IF(AND('Your debts'!$F$6&lt;&gt;"",'Your debts'!$F$13&lt;&gt;"",'Your debts'!$F$6&lt;'Your debts'!$F$13),H172,0)+IF(AND('Your debts'!$F$7&lt;&gt;"",'Your debts'!$F$13&lt;&gt;"",'Your debts'!$F$7&lt;'Your debts'!$F$13),M172,0)+IF(AND('Your debts'!$F$8&lt;&gt;"",'Your debts'!$F$13&lt;&gt;"",'Your debts'!$F$8&lt;'Your debts'!$F$13),R172,0)+IF(AND('Your debts'!$F$9&lt;&gt;"",'Your debts'!$F$13&lt;&gt;"",'Your debts'!$F$9&lt;'Your debts'!$F$13),W172,0)+IF(AND('Your debts'!$F$10&lt;&gt;"",'Your debts'!$F$13&lt;&gt;"",'Your debts'!$F$10&lt;'Your debts'!$F$13),AB172,0)+IF(AND('Your debts'!$F$11&lt;&gt;"",'Your debts'!$F$13&lt;&gt;"",'Your debts'!$F$11&lt;'Your debts'!$F$13),AG172,0)+IF(AND('Your debts'!$F$12&lt;&gt;"",'Your debts'!$F$13&lt;&gt;"",'Your debts'!$F$12&lt;'Your debts'!$F$13),AL172,0)+IF(AND('Your debts'!$F$14&lt;&gt;"",'Your debts'!$F$13&lt;&gt;"",'Your debts'!$F$14&lt;'Your debts'!$F$13),AV172,0)+IF(AND('Your debts'!$F$15&lt;&gt;"",'Your debts'!$F$13&lt;&gt;"",'Your debts'!$F$15&lt;'Your debts'!$F$13),BA172,0)))))</f>
        <v/>
      </c>
      <c r="AS172" s="33">
        <f>AQ172-AR172</f>
        <v/>
      </c>
      <c r="AT172" s="33">
        <f>IF(AX171&lt;=0,0,ROUND(AX171*(1+'Your debts'!$D$14/1200),2))</f>
        <v/>
      </c>
      <c r="AU172" s="33">
        <f>IF(AT172&lt;=0,0,MIN('Your debts'!$E$14,AT172))</f>
        <v/>
      </c>
      <c r="AV172" s="33">
        <f>AT172-AU172</f>
        <v/>
      </c>
      <c r="AW172" s="33">
        <f>IF('Your debts'!$F$14="",0,MIN(AV172,MAX(0,MAX(0,'Your debts'!$C$19-(G172+L172+Q172+V172+AA172+AF172+AK172+AP172+AU172+AZ172))-(IF(AND('Your debts'!$F$6&lt;&gt;"",'Your debts'!$F$14&lt;&gt;"",'Your debts'!$F$6&lt;'Your debts'!$F$14),H172,0)+IF(AND('Your debts'!$F$7&lt;&gt;"",'Your debts'!$F$14&lt;&gt;"",'Your debts'!$F$7&lt;'Your debts'!$F$14),M172,0)+IF(AND('Your debts'!$F$8&lt;&gt;"",'Your debts'!$F$14&lt;&gt;"",'Your debts'!$F$8&lt;'Your debts'!$F$14),R172,0)+IF(AND('Your debts'!$F$9&lt;&gt;"",'Your debts'!$F$14&lt;&gt;"",'Your debts'!$F$9&lt;'Your debts'!$F$14),W172,0)+IF(AND('Your debts'!$F$10&lt;&gt;"",'Your debts'!$F$14&lt;&gt;"",'Your debts'!$F$10&lt;'Your debts'!$F$14),AB172,0)+IF(AND('Your debts'!$F$11&lt;&gt;"",'Your debts'!$F$14&lt;&gt;"",'Your debts'!$F$11&lt;'Your debts'!$F$14),AG172,0)+IF(AND('Your debts'!$F$12&lt;&gt;"",'Your debts'!$F$14&lt;&gt;"",'Your debts'!$F$12&lt;'Your debts'!$F$14),AL172,0)+IF(AND('Your debts'!$F$13&lt;&gt;"",'Your debts'!$F$14&lt;&gt;"",'Your debts'!$F$13&lt;'Your debts'!$F$14),AQ172,0)+IF(AND('Your debts'!$F$15&lt;&gt;"",'Your debts'!$F$14&lt;&gt;"",'Your debts'!$F$15&lt;'Your debts'!$F$14),BA172,0)))))</f>
        <v/>
      </c>
      <c r="AX172" s="33">
        <f>AV172-AW172</f>
        <v/>
      </c>
      <c r="AY172" s="33">
        <f>IF(BC171&lt;=0,0,ROUND(BC171*(1+'Your debts'!$D$15/1200),2))</f>
        <v/>
      </c>
      <c r="AZ172" s="33">
        <f>IF(AY172&lt;=0,0,MIN('Your debts'!$E$15,AY172))</f>
        <v/>
      </c>
      <c r="BA172" s="33">
        <f>AY172-AZ172</f>
        <v/>
      </c>
      <c r="BB172" s="33">
        <f>IF('Your debts'!$F$15="",0,MIN(BA172,MAX(0,MAX(0,'Your debts'!$C$19-(G172+L172+Q172+V172+AA172+AF172+AK172+AP172+AU172+AZ172))-(IF(AND('Your debts'!$F$6&lt;&gt;"",'Your debts'!$F$15&lt;&gt;"",'Your debts'!$F$6&lt;'Your debts'!$F$15),H172,0)+IF(AND('Your debts'!$F$7&lt;&gt;"",'Your debts'!$F$15&lt;&gt;"",'Your debts'!$F$7&lt;'Your debts'!$F$15),M172,0)+IF(AND('Your debts'!$F$8&lt;&gt;"",'Your debts'!$F$15&lt;&gt;"",'Your debts'!$F$8&lt;'Your debts'!$F$15),R172,0)+IF(AND('Your debts'!$F$9&lt;&gt;"",'Your debts'!$F$15&lt;&gt;"",'Your debts'!$F$9&lt;'Your debts'!$F$15),W172,0)+IF(AND('Your debts'!$F$10&lt;&gt;"",'Your debts'!$F$15&lt;&gt;"",'Your debts'!$F$10&lt;'Your debts'!$F$15),AB172,0)+IF(AND('Your debts'!$F$11&lt;&gt;"",'Your debts'!$F$15&lt;&gt;"",'Your debts'!$F$11&lt;'Your debts'!$F$15),AG172,0)+IF(AND('Your debts'!$F$12&lt;&gt;"",'Your debts'!$F$15&lt;&gt;"",'Your debts'!$F$12&lt;'Your debts'!$F$15),AL172,0)+IF(AND('Your debts'!$F$13&lt;&gt;"",'Your debts'!$F$15&lt;&gt;"",'Your debts'!$F$13&lt;'Your debts'!$F$15),AQ172,0)+IF(AND('Your debts'!$F$14&lt;&gt;"",'Your debts'!$F$15&lt;&gt;"",'Your debts'!$F$14&lt;'Your debts'!$F$15),AV172,0)))))</f>
        <v/>
      </c>
      <c r="BC172" s="33">
        <f>BA172-BB172</f>
        <v/>
      </c>
    </row>
    <row r="173">
      <c r="A173" s="30" t="n">
        <v>158</v>
      </c>
      <c r="B173" s="31">
        <f>EDATE($B$15,158)</f>
        <v/>
      </c>
      <c r="C173" s="32">
        <f>IF(J172&lt;=0,0,F173-J172)+IF(O172&lt;=0,0,K173-O172)+IF(T172&lt;=0,0,P173-T172)+IF(Y172&lt;=0,0,U173-Y172)+IF(AD172&lt;=0,0,Z173-AD172)+IF(AI172&lt;=0,0,AE173-AI172)+IF(AN172&lt;=0,0,AJ173-AN172)+IF(AS172&lt;=0,0,AO173-AS172)+IF(AX172&lt;=0,0,AT173-AX172)+IF(BC172&lt;=0,0,AY173-BC172)</f>
        <v/>
      </c>
      <c r="D173" s="32">
        <f>G173+I173+L173+N173+Q173+S173+V173+X173+AA173+AC173+AF173+AH173+AK173+AM173+AP173+AR173+AU173+AW173+AZ173+BB173</f>
        <v/>
      </c>
      <c r="E173" s="32">
        <f>J173+O173+T173+Y173+AD173+AI173+AN173+AS173+AX173+BC173</f>
        <v/>
      </c>
      <c r="F173" s="33">
        <f>IF(J172&lt;=0,0,ROUND(J172*(1+'Your debts'!$D$6/1200),2))</f>
        <v/>
      </c>
      <c r="G173" s="33">
        <f>IF(F173&lt;=0,0,MIN('Your debts'!$E$6,F173))</f>
        <v/>
      </c>
      <c r="H173" s="33">
        <f>F173-G173</f>
        <v/>
      </c>
      <c r="I173" s="33">
        <f>IF('Your debts'!$F$6="",0,MIN(H173,MAX(0,MAX(0,'Your debts'!$C$19-(G173+L173+Q173+V173+AA173+AF173+AK173+AP173+AU173+AZ173))-(IF(AND('Your debts'!$F$7&lt;&gt;"",'Your debts'!$F$6&lt;&gt;"",'Your debts'!$F$7&lt;'Your debts'!$F$6),M173,0)+IF(AND('Your debts'!$F$8&lt;&gt;"",'Your debts'!$F$6&lt;&gt;"",'Your debts'!$F$8&lt;'Your debts'!$F$6),R173,0)+IF(AND('Your debts'!$F$9&lt;&gt;"",'Your debts'!$F$6&lt;&gt;"",'Your debts'!$F$9&lt;'Your debts'!$F$6),W173,0)+IF(AND('Your debts'!$F$10&lt;&gt;"",'Your debts'!$F$6&lt;&gt;"",'Your debts'!$F$10&lt;'Your debts'!$F$6),AB173,0)+IF(AND('Your debts'!$F$11&lt;&gt;"",'Your debts'!$F$6&lt;&gt;"",'Your debts'!$F$11&lt;'Your debts'!$F$6),AG173,0)+IF(AND('Your debts'!$F$12&lt;&gt;"",'Your debts'!$F$6&lt;&gt;"",'Your debts'!$F$12&lt;'Your debts'!$F$6),AL173,0)+IF(AND('Your debts'!$F$13&lt;&gt;"",'Your debts'!$F$6&lt;&gt;"",'Your debts'!$F$13&lt;'Your debts'!$F$6),AQ173,0)+IF(AND('Your debts'!$F$14&lt;&gt;"",'Your debts'!$F$6&lt;&gt;"",'Your debts'!$F$14&lt;'Your debts'!$F$6),AV173,0)+IF(AND('Your debts'!$F$15&lt;&gt;"",'Your debts'!$F$6&lt;&gt;"",'Your debts'!$F$15&lt;'Your debts'!$F$6),BA173,0)))))</f>
        <v/>
      </c>
      <c r="J173" s="33">
        <f>H173-I173</f>
        <v/>
      </c>
      <c r="K173" s="33">
        <f>IF(O172&lt;=0,0,ROUND(O172*(1+'Your debts'!$D$7/1200),2))</f>
        <v/>
      </c>
      <c r="L173" s="33">
        <f>IF(K173&lt;=0,0,MIN('Your debts'!$E$7,K173))</f>
        <v/>
      </c>
      <c r="M173" s="33">
        <f>K173-L173</f>
        <v/>
      </c>
      <c r="N173" s="33">
        <f>IF('Your debts'!$F$7="",0,MIN(M173,MAX(0,MAX(0,'Your debts'!$C$19-(G173+L173+Q173+V173+AA173+AF173+AK173+AP173+AU173+AZ173))-(IF(AND('Your debts'!$F$6&lt;&gt;"",'Your debts'!$F$7&lt;&gt;"",'Your debts'!$F$6&lt;'Your debts'!$F$7),H173,0)+IF(AND('Your debts'!$F$8&lt;&gt;"",'Your debts'!$F$7&lt;&gt;"",'Your debts'!$F$8&lt;'Your debts'!$F$7),R173,0)+IF(AND('Your debts'!$F$9&lt;&gt;"",'Your debts'!$F$7&lt;&gt;"",'Your debts'!$F$9&lt;'Your debts'!$F$7),W173,0)+IF(AND('Your debts'!$F$10&lt;&gt;"",'Your debts'!$F$7&lt;&gt;"",'Your debts'!$F$10&lt;'Your debts'!$F$7),AB173,0)+IF(AND('Your debts'!$F$11&lt;&gt;"",'Your debts'!$F$7&lt;&gt;"",'Your debts'!$F$11&lt;'Your debts'!$F$7),AG173,0)+IF(AND('Your debts'!$F$12&lt;&gt;"",'Your debts'!$F$7&lt;&gt;"",'Your debts'!$F$12&lt;'Your debts'!$F$7),AL173,0)+IF(AND('Your debts'!$F$13&lt;&gt;"",'Your debts'!$F$7&lt;&gt;"",'Your debts'!$F$13&lt;'Your debts'!$F$7),AQ173,0)+IF(AND('Your debts'!$F$14&lt;&gt;"",'Your debts'!$F$7&lt;&gt;"",'Your debts'!$F$14&lt;'Your debts'!$F$7),AV173,0)+IF(AND('Your debts'!$F$15&lt;&gt;"",'Your debts'!$F$7&lt;&gt;"",'Your debts'!$F$15&lt;'Your debts'!$F$7),BA173,0)))))</f>
        <v/>
      </c>
      <c r="O173" s="33">
        <f>M173-N173</f>
        <v/>
      </c>
      <c r="P173" s="33">
        <f>IF(T172&lt;=0,0,ROUND(T172*(1+'Your debts'!$D$8/1200),2))</f>
        <v/>
      </c>
      <c r="Q173" s="33">
        <f>IF(P173&lt;=0,0,MIN('Your debts'!$E$8,P173))</f>
        <v/>
      </c>
      <c r="R173" s="33">
        <f>P173-Q173</f>
        <v/>
      </c>
      <c r="S173" s="33">
        <f>IF('Your debts'!$F$8="",0,MIN(R173,MAX(0,MAX(0,'Your debts'!$C$19-(G173+L173+Q173+V173+AA173+AF173+AK173+AP173+AU173+AZ173))-(IF(AND('Your debts'!$F$6&lt;&gt;"",'Your debts'!$F$8&lt;&gt;"",'Your debts'!$F$6&lt;'Your debts'!$F$8),H173,0)+IF(AND('Your debts'!$F$7&lt;&gt;"",'Your debts'!$F$8&lt;&gt;"",'Your debts'!$F$7&lt;'Your debts'!$F$8),M173,0)+IF(AND('Your debts'!$F$9&lt;&gt;"",'Your debts'!$F$8&lt;&gt;"",'Your debts'!$F$9&lt;'Your debts'!$F$8),W173,0)+IF(AND('Your debts'!$F$10&lt;&gt;"",'Your debts'!$F$8&lt;&gt;"",'Your debts'!$F$10&lt;'Your debts'!$F$8),AB173,0)+IF(AND('Your debts'!$F$11&lt;&gt;"",'Your debts'!$F$8&lt;&gt;"",'Your debts'!$F$11&lt;'Your debts'!$F$8),AG173,0)+IF(AND('Your debts'!$F$12&lt;&gt;"",'Your debts'!$F$8&lt;&gt;"",'Your debts'!$F$12&lt;'Your debts'!$F$8),AL173,0)+IF(AND('Your debts'!$F$13&lt;&gt;"",'Your debts'!$F$8&lt;&gt;"",'Your debts'!$F$13&lt;'Your debts'!$F$8),AQ173,0)+IF(AND('Your debts'!$F$14&lt;&gt;"",'Your debts'!$F$8&lt;&gt;"",'Your debts'!$F$14&lt;'Your debts'!$F$8),AV173,0)+IF(AND('Your debts'!$F$15&lt;&gt;"",'Your debts'!$F$8&lt;&gt;"",'Your debts'!$F$15&lt;'Your debts'!$F$8),BA173,0)))))</f>
        <v/>
      </c>
      <c r="T173" s="33">
        <f>R173-S173</f>
        <v/>
      </c>
      <c r="U173" s="33">
        <f>IF(Y172&lt;=0,0,ROUND(Y172*(1+'Your debts'!$D$9/1200),2))</f>
        <v/>
      </c>
      <c r="V173" s="33">
        <f>IF(U173&lt;=0,0,MIN('Your debts'!$E$9,U173))</f>
        <v/>
      </c>
      <c r="W173" s="33">
        <f>U173-V173</f>
        <v/>
      </c>
      <c r="X173" s="33">
        <f>IF('Your debts'!$F$9="",0,MIN(W173,MAX(0,MAX(0,'Your debts'!$C$19-(G173+L173+Q173+V173+AA173+AF173+AK173+AP173+AU173+AZ173))-(IF(AND('Your debts'!$F$6&lt;&gt;"",'Your debts'!$F$9&lt;&gt;"",'Your debts'!$F$6&lt;'Your debts'!$F$9),H173,0)+IF(AND('Your debts'!$F$7&lt;&gt;"",'Your debts'!$F$9&lt;&gt;"",'Your debts'!$F$7&lt;'Your debts'!$F$9),M173,0)+IF(AND('Your debts'!$F$8&lt;&gt;"",'Your debts'!$F$9&lt;&gt;"",'Your debts'!$F$8&lt;'Your debts'!$F$9),R173,0)+IF(AND('Your debts'!$F$10&lt;&gt;"",'Your debts'!$F$9&lt;&gt;"",'Your debts'!$F$10&lt;'Your debts'!$F$9),AB173,0)+IF(AND('Your debts'!$F$11&lt;&gt;"",'Your debts'!$F$9&lt;&gt;"",'Your debts'!$F$11&lt;'Your debts'!$F$9),AG173,0)+IF(AND('Your debts'!$F$12&lt;&gt;"",'Your debts'!$F$9&lt;&gt;"",'Your debts'!$F$12&lt;'Your debts'!$F$9),AL173,0)+IF(AND('Your debts'!$F$13&lt;&gt;"",'Your debts'!$F$9&lt;&gt;"",'Your debts'!$F$13&lt;'Your debts'!$F$9),AQ173,0)+IF(AND('Your debts'!$F$14&lt;&gt;"",'Your debts'!$F$9&lt;&gt;"",'Your debts'!$F$14&lt;'Your debts'!$F$9),AV173,0)+IF(AND('Your debts'!$F$15&lt;&gt;"",'Your debts'!$F$9&lt;&gt;"",'Your debts'!$F$15&lt;'Your debts'!$F$9),BA173,0)))))</f>
        <v/>
      </c>
      <c r="Y173" s="33">
        <f>W173-X173</f>
        <v/>
      </c>
      <c r="Z173" s="33">
        <f>IF(AD172&lt;=0,0,ROUND(AD172*(1+'Your debts'!$D$10/1200),2))</f>
        <v/>
      </c>
      <c r="AA173" s="33">
        <f>IF(Z173&lt;=0,0,MIN('Your debts'!$E$10,Z173))</f>
        <v/>
      </c>
      <c r="AB173" s="33">
        <f>Z173-AA173</f>
        <v/>
      </c>
      <c r="AC173" s="33">
        <f>IF('Your debts'!$F$10="",0,MIN(AB173,MAX(0,MAX(0,'Your debts'!$C$19-(G173+L173+Q173+V173+AA173+AF173+AK173+AP173+AU173+AZ173))-(IF(AND('Your debts'!$F$6&lt;&gt;"",'Your debts'!$F$10&lt;&gt;"",'Your debts'!$F$6&lt;'Your debts'!$F$10),H173,0)+IF(AND('Your debts'!$F$7&lt;&gt;"",'Your debts'!$F$10&lt;&gt;"",'Your debts'!$F$7&lt;'Your debts'!$F$10),M173,0)+IF(AND('Your debts'!$F$8&lt;&gt;"",'Your debts'!$F$10&lt;&gt;"",'Your debts'!$F$8&lt;'Your debts'!$F$10),R173,0)+IF(AND('Your debts'!$F$9&lt;&gt;"",'Your debts'!$F$10&lt;&gt;"",'Your debts'!$F$9&lt;'Your debts'!$F$10),W173,0)+IF(AND('Your debts'!$F$11&lt;&gt;"",'Your debts'!$F$10&lt;&gt;"",'Your debts'!$F$11&lt;'Your debts'!$F$10),AG173,0)+IF(AND('Your debts'!$F$12&lt;&gt;"",'Your debts'!$F$10&lt;&gt;"",'Your debts'!$F$12&lt;'Your debts'!$F$10),AL173,0)+IF(AND('Your debts'!$F$13&lt;&gt;"",'Your debts'!$F$10&lt;&gt;"",'Your debts'!$F$13&lt;'Your debts'!$F$10),AQ173,0)+IF(AND('Your debts'!$F$14&lt;&gt;"",'Your debts'!$F$10&lt;&gt;"",'Your debts'!$F$14&lt;'Your debts'!$F$10),AV173,0)+IF(AND('Your debts'!$F$15&lt;&gt;"",'Your debts'!$F$10&lt;&gt;"",'Your debts'!$F$15&lt;'Your debts'!$F$10),BA173,0)))))</f>
        <v/>
      </c>
      <c r="AD173" s="33">
        <f>AB173-AC173</f>
        <v/>
      </c>
      <c r="AE173" s="33">
        <f>IF(AI172&lt;=0,0,ROUND(AI172*(1+'Your debts'!$D$11/1200),2))</f>
        <v/>
      </c>
      <c r="AF173" s="33">
        <f>IF(AE173&lt;=0,0,MIN('Your debts'!$E$11,AE173))</f>
        <v/>
      </c>
      <c r="AG173" s="33">
        <f>AE173-AF173</f>
        <v/>
      </c>
      <c r="AH173" s="33">
        <f>IF('Your debts'!$F$11="",0,MIN(AG173,MAX(0,MAX(0,'Your debts'!$C$19-(G173+L173+Q173+V173+AA173+AF173+AK173+AP173+AU173+AZ173))-(IF(AND('Your debts'!$F$6&lt;&gt;"",'Your debts'!$F$11&lt;&gt;"",'Your debts'!$F$6&lt;'Your debts'!$F$11),H173,0)+IF(AND('Your debts'!$F$7&lt;&gt;"",'Your debts'!$F$11&lt;&gt;"",'Your debts'!$F$7&lt;'Your debts'!$F$11),M173,0)+IF(AND('Your debts'!$F$8&lt;&gt;"",'Your debts'!$F$11&lt;&gt;"",'Your debts'!$F$8&lt;'Your debts'!$F$11),R173,0)+IF(AND('Your debts'!$F$9&lt;&gt;"",'Your debts'!$F$11&lt;&gt;"",'Your debts'!$F$9&lt;'Your debts'!$F$11),W173,0)+IF(AND('Your debts'!$F$10&lt;&gt;"",'Your debts'!$F$11&lt;&gt;"",'Your debts'!$F$10&lt;'Your debts'!$F$11),AB173,0)+IF(AND('Your debts'!$F$12&lt;&gt;"",'Your debts'!$F$11&lt;&gt;"",'Your debts'!$F$12&lt;'Your debts'!$F$11),AL173,0)+IF(AND('Your debts'!$F$13&lt;&gt;"",'Your debts'!$F$11&lt;&gt;"",'Your debts'!$F$13&lt;'Your debts'!$F$11),AQ173,0)+IF(AND('Your debts'!$F$14&lt;&gt;"",'Your debts'!$F$11&lt;&gt;"",'Your debts'!$F$14&lt;'Your debts'!$F$11),AV173,0)+IF(AND('Your debts'!$F$15&lt;&gt;"",'Your debts'!$F$11&lt;&gt;"",'Your debts'!$F$15&lt;'Your debts'!$F$11),BA173,0)))))</f>
        <v/>
      </c>
      <c r="AI173" s="33">
        <f>AG173-AH173</f>
        <v/>
      </c>
      <c r="AJ173" s="33">
        <f>IF(AN172&lt;=0,0,ROUND(AN172*(1+'Your debts'!$D$12/1200),2))</f>
        <v/>
      </c>
      <c r="AK173" s="33">
        <f>IF(AJ173&lt;=0,0,MIN('Your debts'!$E$12,AJ173))</f>
        <v/>
      </c>
      <c r="AL173" s="33">
        <f>AJ173-AK173</f>
        <v/>
      </c>
      <c r="AM173" s="33">
        <f>IF('Your debts'!$F$12="",0,MIN(AL173,MAX(0,MAX(0,'Your debts'!$C$19-(G173+L173+Q173+V173+AA173+AF173+AK173+AP173+AU173+AZ173))-(IF(AND('Your debts'!$F$6&lt;&gt;"",'Your debts'!$F$12&lt;&gt;"",'Your debts'!$F$6&lt;'Your debts'!$F$12),H173,0)+IF(AND('Your debts'!$F$7&lt;&gt;"",'Your debts'!$F$12&lt;&gt;"",'Your debts'!$F$7&lt;'Your debts'!$F$12),M173,0)+IF(AND('Your debts'!$F$8&lt;&gt;"",'Your debts'!$F$12&lt;&gt;"",'Your debts'!$F$8&lt;'Your debts'!$F$12),R173,0)+IF(AND('Your debts'!$F$9&lt;&gt;"",'Your debts'!$F$12&lt;&gt;"",'Your debts'!$F$9&lt;'Your debts'!$F$12),W173,0)+IF(AND('Your debts'!$F$10&lt;&gt;"",'Your debts'!$F$12&lt;&gt;"",'Your debts'!$F$10&lt;'Your debts'!$F$12),AB173,0)+IF(AND('Your debts'!$F$11&lt;&gt;"",'Your debts'!$F$12&lt;&gt;"",'Your debts'!$F$11&lt;'Your debts'!$F$12),AG173,0)+IF(AND('Your debts'!$F$13&lt;&gt;"",'Your debts'!$F$12&lt;&gt;"",'Your debts'!$F$13&lt;'Your debts'!$F$12),AQ173,0)+IF(AND('Your debts'!$F$14&lt;&gt;"",'Your debts'!$F$12&lt;&gt;"",'Your debts'!$F$14&lt;'Your debts'!$F$12),AV173,0)+IF(AND('Your debts'!$F$15&lt;&gt;"",'Your debts'!$F$12&lt;&gt;"",'Your debts'!$F$15&lt;'Your debts'!$F$12),BA173,0)))))</f>
        <v/>
      </c>
      <c r="AN173" s="33">
        <f>AL173-AM173</f>
        <v/>
      </c>
      <c r="AO173" s="33">
        <f>IF(AS172&lt;=0,0,ROUND(AS172*(1+'Your debts'!$D$13/1200),2))</f>
        <v/>
      </c>
      <c r="AP173" s="33">
        <f>IF(AO173&lt;=0,0,MIN('Your debts'!$E$13,AO173))</f>
        <v/>
      </c>
      <c r="AQ173" s="33">
        <f>AO173-AP173</f>
        <v/>
      </c>
      <c r="AR173" s="33">
        <f>IF('Your debts'!$F$13="",0,MIN(AQ173,MAX(0,MAX(0,'Your debts'!$C$19-(G173+L173+Q173+V173+AA173+AF173+AK173+AP173+AU173+AZ173))-(IF(AND('Your debts'!$F$6&lt;&gt;"",'Your debts'!$F$13&lt;&gt;"",'Your debts'!$F$6&lt;'Your debts'!$F$13),H173,0)+IF(AND('Your debts'!$F$7&lt;&gt;"",'Your debts'!$F$13&lt;&gt;"",'Your debts'!$F$7&lt;'Your debts'!$F$13),M173,0)+IF(AND('Your debts'!$F$8&lt;&gt;"",'Your debts'!$F$13&lt;&gt;"",'Your debts'!$F$8&lt;'Your debts'!$F$13),R173,0)+IF(AND('Your debts'!$F$9&lt;&gt;"",'Your debts'!$F$13&lt;&gt;"",'Your debts'!$F$9&lt;'Your debts'!$F$13),W173,0)+IF(AND('Your debts'!$F$10&lt;&gt;"",'Your debts'!$F$13&lt;&gt;"",'Your debts'!$F$10&lt;'Your debts'!$F$13),AB173,0)+IF(AND('Your debts'!$F$11&lt;&gt;"",'Your debts'!$F$13&lt;&gt;"",'Your debts'!$F$11&lt;'Your debts'!$F$13),AG173,0)+IF(AND('Your debts'!$F$12&lt;&gt;"",'Your debts'!$F$13&lt;&gt;"",'Your debts'!$F$12&lt;'Your debts'!$F$13),AL173,0)+IF(AND('Your debts'!$F$14&lt;&gt;"",'Your debts'!$F$13&lt;&gt;"",'Your debts'!$F$14&lt;'Your debts'!$F$13),AV173,0)+IF(AND('Your debts'!$F$15&lt;&gt;"",'Your debts'!$F$13&lt;&gt;"",'Your debts'!$F$15&lt;'Your debts'!$F$13),BA173,0)))))</f>
        <v/>
      </c>
      <c r="AS173" s="33">
        <f>AQ173-AR173</f>
        <v/>
      </c>
      <c r="AT173" s="33">
        <f>IF(AX172&lt;=0,0,ROUND(AX172*(1+'Your debts'!$D$14/1200),2))</f>
        <v/>
      </c>
      <c r="AU173" s="33">
        <f>IF(AT173&lt;=0,0,MIN('Your debts'!$E$14,AT173))</f>
        <v/>
      </c>
      <c r="AV173" s="33">
        <f>AT173-AU173</f>
        <v/>
      </c>
      <c r="AW173" s="33">
        <f>IF('Your debts'!$F$14="",0,MIN(AV173,MAX(0,MAX(0,'Your debts'!$C$19-(G173+L173+Q173+V173+AA173+AF173+AK173+AP173+AU173+AZ173))-(IF(AND('Your debts'!$F$6&lt;&gt;"",'Your debts'!$F$14&lt;&gt;"",'Your debts'!$F$6&lt;'Your debts'!$F$14),H173,0)+IF(AND('Your debts'!$F$7&lt;&gt;"",'Your debts'!$F$14&lt;&gt;"",'Your debts'!$F$7&lt;'Your debts'!$F$14),M173,0)+IF(AND('Your debts'!$F$8&lt;&gt;"",'Your debts'!$F$14&lt;&gt;"",'Your debts'!$F$8&lt;'Your debts'!$F$14),R173,0)+IF(AND('Your debts'!$F$9&lt;&gt;"",'Your debts'!$F$14&lt;&gt;"",'Your debts'!$F$9&lt;'Your debts'!$F$14),W173,0)+IF(AND('Your debts'!$F$10&lt;&gt;"",'Your debts'!$F$14&lt;&gt;"",'Your debts'!$F$10&lt;'Your debts'!$F$14),AB173,0)+IF(AND('Your debts'!$F$11&lt;&gt;"",'Your debts'!$F$14&lt;&gt;"",'Your debts'!$F$11&lt;'Your debts'!$F$14),AG173,0)+IF(AND('Your debts'!$F$12&lt;&gt;"",'Your debts'!$F$14&lt;&gt;"",'Your debts'!$F$12&lt;'Your debts'!$F$14),AL173,0)+IF(AND('Your debts'!$F$13&lt;&gt;"",'Your debts'!$F$14&lt;&gt;"",'Your debts'!$F$13&lt;'Your debts'!$F$14),AQ173,0)+IF(AND('Your debts'!$F$15&lt;&gt;"",'Your debts'!$F$14&lt;&gt;"",'Your debts'!$F$15&lt;'Your debts'!$F$14),BA173,0)))))</f>
        <v/>
      </c>
      <c r="AX173" s="33">
        <f>AV173-AW173</f>
        <v/>
      </c>
      <c r="AY173" s="33">
        <f>IF(BC172&lt;=0,0,ROUND(BC172*(1+'Your debts'!$D$15/1200),2))</f>
        <v/>
      </c>
      <c r="AZ173" s="33">
        <f>IF(AY173&lt;=0,0,MIN('Your debts'!$E$15,AY173))</f>
        <v/>
      </c>
      <c r="BA173" s="33">
        <f>AY173-AZ173</f>
        <v/>
      </c>
      <c r="BB173" s="33">
        <f>IF('Your debts'!$F$15="",0,MIN(BA173,MAX(0,MAX(0,'Your debts'!$C$19-(G173+L173+Q173+V173+AA173+AF173+AK173+AP173+AU173+AZ173))-(IF(AND('Your debts'!$F$6&lt;&gt;"",'Your debts'!$F$15&lt;&gt;"",'Your debts'!$F$6&lt;'Your debts'!$F$15),H173,0)+IF(AND('Your debts'!$F$7&lt;&gt;"",'Your debts'!$F$15&lt;&gt;"",'Your debts'!$F$7&lt;'Your debts'!$F$15),M173,0)+IF(AND('Your debts'!$F$8&lt;&gt;"",'Your debts'!$F$15&lt;&gt;"",'Your debts'!$F$8&lt;'Your debts'!$F$15),R173,0)+IF(AND('Your debts'!$F$9&lt;&gt;"",'Your debts'!$F$15&lt;&gt;"",'Your debts'!$F$9&lt;'Your debts'!$F$15),W173,0)+IF(AND('Your debts'!$F$10&lt;&gt;"",'Your debts'!$F$15&lt;&gt;"",'Your debts'!$F$10&lt;'Your debts'!$F$15),AB173,0)+IF(AND('Your debts'!$F$11&lt;&gt;"",'Your debts'!$F$15&lt;&gt;"",'Your debts'!$F$11&lt;'Your debts'!$F$15),AG173,0)+IF(AND('Your debts'!$F$12&lt;&gt;"",'Your debts'!$F$15&lt;&gt;"",'Your debts'!$F$12&lt;'Your debts'!$F$15),AL173,0)+IF(AND('Your debts'!$F$13&lt;&gt;"",'Your debts'!$F$15&lt;&gt;"",'Your debts'!$F$13&lt;'Your debts'!$F$15),AQ173,0)+IF(AND('Your debts'!$F$14&lt;&gt;"",'Your debts'!$F$15&lt;&gt;"",'Your debts'!$F$14&lt;'Your debts'!$F$15),AV173,0)))))</f>
        <v/>
      </c>
      <c r="BC173" s="33">
        <f>BA173-BB173</f>
        <v/>
      </c>
    </row>
    <row r="174">
      <c r="A174" s="30" t="n">
        <v>159</v>
      </c>
      <c r="B174" s="31">
        <f>EDATE($B$15,159)</f>
        <v/>
      </c>
      <c r="C174" s="32">
        <f>IF(J173&lt;=0,0,F174-J173)+IF(O173&lt;=0,0,K174-O173)+IF(T173&lt;=0,0,P174-T173)+IF(Y173&lt;=0,0,U174-Y173)+IF(AD173&lt;=0,0,Z174-AD173)+IF(AI173&lt;=0,0,AE174-AI173)+IF(AN173&lt;=0,0,AJ174-AN173)+IF(AS173&lt;=0,0,AO174-AS173)+IF(AX173&lt;=0,0,AT174-AX173)+IF(BC173&lt;=0,0,AY174-BC173)</f>
        <v/>
      </c>
      <c r="D174" s="32">
        <f>G174+I174+L174+N174+Q174+S174+V174+X174+AA174+AC174+AF174+AH174+AK174+AM174+AP174+AR174+AU174+AW174+AZ174+BB174</f>
        <v/>
      </c>
      <c r="E174" s="32">
        <f>J174+O174+T174+Y174+AD174+AI174+AN174+AS174+AX174+BC174</f>
        <v/>
      </c>
      <c r="F174" s="33">
        <f>IF(J173&lt;=0,0,ROUND(J173*(1+'Your debts'!$D$6/1200),2))</f>
        <v/>
      </c>
      <c r="G174" s="33">
        <f>IF(F174&lt;=0,0,MIN('Your debts'!$E$6,F174))</f>
        <v/>
      </c>
      <c r="H174" s="33">
        <f>F174-G174</f>
        <v/>
      </c>
      <c r="I174" s="33">
        <f>IF('Your debts'!$F$6="",0,MIN(H174,MAX(0,MAX(0,'Your debts'!$C$19-(G174+L174+Q174+V174+AA174+AF174+AK174+AP174+AU174+AZ174))-(IF(AND('Your debts'!$F$7&lt;&gt;"",'Your debts'!$F$6&lt;&gt;"",'Your debts'!$F$7&lt;'Your debts'!$F$6),M174,0)+IF(AND('Your debts'!$F$8&lt;&gt;"",'Your debts'!$F$6&lt;&gt;"",'Your debts'!$F$8&lt;'Your debts'!$F$6),R174,0)+IF(AND('Your debts'!$F$9&lt;&gt;"",'Your debts'!$F$6&lt;&gt;"",'Your debts'!$F$9&lt;'Your debts'!$F$6),W174,0)+IF(AND('Your debts'!$F$10&lt;&gt;"",'Your debts'!$F$6&lt;&gt;"",'Your debts'!$F$10&lt;'Your debts'!$F$6),AB174,0)+IF(AND('Your debts'!$F$11&lt;&gt;"",'Your debts'!$F$6&lt;&gt;"",'Your debts'!$F$11&lt;'Your debts'!$F$6),AG174,0)+IF(AND('Your debts'!$F$12&lt;&gt;"",'Your debts'!$F$6&lt;&gt;"",'Your debts'!$F$12&lt;'Your debts'!$F$6),AL174,0)+IF(AND('Your debts'!$F$13&lt;&gt;"",'Your debts'!$F$6&lt;&gt;"",'Your debts'!$F$13&lt;'Your debts'!$F$6),AQ174,0)+IF(AND('Your debts'!$F$14&lt;&gt;"",'Your debts'!$F$6&lt;&gt;"",'Your debts'!$F$14&lt;'Your debts'!$F$6),AV174,0)+IF(AND('Your debts'!$F$15&lt;&gt;"",'Your debts'!$F$6&lt;&gt;"",'Your debts'!$F$15&lt;'Your debts'!$F$6),BA174,0)))))</f>
        <v/>
      </c>
      <c r="J174" s="33">
        <f>H174-I174</f>
        <v/>
      </c>
      <c r="K174" s="33">
        <f>IF(O173&lt;=0,0,ROUND(O173*(1+'Your debts'!$D$7/1200),2))</f>
        <v/>
      </c>
      <c r="L174" s="33">
        <f>IF(K174&lt;=0,0,MIN('Your debts'!$E$7,K174))</f>
        <v/>
      </c>
      <c r="M174" s="33">
        <f>K174-L174</f>
        <v/>
      </c>
      <c r="N174" s="33">
        <f>IF('Your debts'!$F$7="",0,MIN(M174,MAX(0,MAX(0,'Your debts'!$C$19-(G174+L174+Q174+V174+AA174+AF174+AK174+AP174+AU174+AZ174))-(IF(AND('Your debts'!$F$6&lt;&gt;"",'Your debts'!$F$7&lt;&gt;"",'Your debts'!$F$6&lt;'Your debts'!$F$7),H174,0)+IF(AND('Your debts'!$F$8&lt;&gt;"",'Your debts'!$F$7&lt;&gt;"",'Your debts'!$F$8&lt;'Your debts'!$F$7),R174,0)+IF(AND('Your debts'!$F$9&lt;&gt;"",'Your debts'!$F$7&lt;&gt;"",'Your debts'!$F$9&lt;'Your debts'!$F$7),W174,0)+IF(AND('Your debts'!$F$10&lt;&gt;"",'Your debts'!$F$7&lt;&gt;"",'Your debts'!$F$10&lt;'Your debts'!$F$7),AB174,0)+IF(AND('Your debts'!$F$11&lt;&gt;"",'Your debts'!$F$7&lt;&gt;"",'Your debts'!$F$11&lt;'Your debts'!$F$7),AG174,0)+IF(AND('Your debts'!$F$12&lt;&gt;"",'Your debts'!$F$7&lt;&gt;"",'Your debts'!$F$12&lt;'Your debts'!$F$7),AL174,0)+IF(AND('Your debts'!$F$13&lt;&gt;"",'Your debts'!$F$7&lt;&gt;"",'Your debts'!$F$13&lt;'Your debts'!$F$7),AQ174,0)+IF(AND('Your debts'!$F$14&lt;&gt;"",'Your debts'!$F$7&lt;&gt;"",'Your debts'!$F$14&lt;'Your debts'!$F$7),AV174,0)+IF(AND('Your debts'!$F$15&lt;&gt;"",'Your debts'!$F$7&lt;&gt;"",'Your debts'!$F$15&lt;'Your debts'!$F$7),BA174,0)))))</f>
        <v/>
      </c>
      <c r="O174" s="33">
        <f>M174-N174</f>
        <v/>
      </c>
      <c r="P174" s="33">
        <f>IF(T173&lt;=0,0,ROUND(T173*(1+'Your debts'!$D$8/1200),2))</f>
        <v/>
      </c>
      <c r="Q174" s="33">
        <f>IF(P174&lt;=0,0,MIN('Your debts'!$E$8,P174))</f>
        <v/>
      </c>
      <c r="R174" s="33">
        <f>P174-Q174</f>
        <v/>
      </c>
      <c r="S174" s="33">
        <f>IF('Your debts'!$F$8="",0,MIN(R174,MAX(0,MAX(0,'Your debts'!$C$19-(G174+L174+Q174+V174+AA174+AF174+AK174+AP174+AU174+AZ174))-(IF(AND('Your debts'!$F$6&lt;&gt;"",'Your debts'!$F$8&lt;&gt;"",'Your debts'!$F$6&lt;'Your debts'!$F$8),H174,0)+IF(AND('Your debts'!$F$7&lt;&gt;"",'Your debts'!$F$8&lt;&gt;"",'Your debts'!$F$7&lt;'Your debts'!$F$8),M174,0)+IF(AND('Your debts'!$F$9&lt;&gt;"",'Your debts'!$F$8&lt;&gt;"",'Your debts'!$F$9&lt;'Your debts'!$F$8),W174,0)+IF(AND('Your debts'!$F$10&lt;&gt;"",'Your debts'!$F$8&lt;&gt;"",'Your debts'!$F$10&lt;'Your debts'!$F$8),AB174,0)+IF(AND('Your debts'!$F$11&lt;&gt;"",'Your debts'!$F$8&lt;&gt;"",'Your debts'!$F$11&lt;'Your debts'!$F$8),AG174,0)+IF(AND('Your debts'!$F$12&lt;&gt;"",'Your debts'!$F$8&lt;&gt;"",'Your debts'!$F$12&lt;'Your debts'!$F$8),AL174,0)+IF(AND('Your debts'!$F$13&lt;&gt;"",'Your debts'!$F$8&lt;&gt;"",'Your debts'!$F$13&lt;'Your debts'!$F$8),AQ174,0)+IF(AND('Your debts'!$F$14&lt;&gt;"",'Your debts'!$F$8&lt;&gt;"",'Your debts'!$F$14&lt;'Your debts'!$F$8),AV174,0)+IF(AND('Your debts'!$F$15&lt;&gt;"",'Your debts'!$F$8&lt;&gt;"",'Your debts'!$F$15&lt;'Your debts'!$F$8),BA174,0)))))</f>
        <v/>
      </c>
      <c r="T174" s="33">
        <f>R174-S174</f>
        <v/>
      </c>
      <c r="U174" s="33">
        <f>IF(Y173&lt;=0,0,ROUND(Y173*(1+'Your debts'!$D$9/1200),2))</f>
        <v/>
      </c>
      <c r="V174" s="33">
        <f>IF(U174&lt;=0,0,MIN('Your debts'!$E$9,U174))</f>
        <v/>
      </c>
      <c r="W174" s="33">
        <f>U174-V174</f>
        <v/>
      </c>
      <c r="X174" s="33">
        <f>IF('Your debts'!$F$9="",0,MIN(W174,MAX(0,MAX(0,'Your debts'!$C$19-(G174+L174+Q174+V174+AA174+AF174+AK174+AP174+AU174+AZ174))-(IF(AND('Your debts'!$F$6&lt;&gt;"",'Your debts'!$F$9&lt;&gt;"",'Your debts'!$F$6&lt;'Your debts'!$F$9),H174,0)+IF(AND('Your debts'!$F$7&lt;&gt;"",'Your debts'!$F$9&lt;&gt;"",'Your debts'!$F$7&lt;'Your debts'!$F$9),M174,0)+IF(AND('Your debts'!$F$8&lt;&gt;"",'Your debts'!$F$9&lt;&gt;"",'Your debts'!$F$8&lt;'Your debts'!$F$9),R174,0)+IF(AND('Your debts'!$F$10&lt;&gt;"",'Your debts'!$F$9&lt;&gt;"",'Your debts'!$F$10&lt;'Your debts'!$F$9),AB174,0)+IF(AND('Your debts'!$F$11&lt;&gt;"",'Your debts'!$F$9&lt;&gt;"",'Your debts'!$F$11&lt;'Your debts'!$F$9),AG174,0)+IF(AND('Your debts'!$F$12&lt;&gt;"",'Your debts'!$F$9&lt;&gt;"",'Your debts'!$F$12&lt;'Your debts'!$F$9),AL174,0)+IF(AND('Your debts'!$F$13&lt;&gt;"",'Your debts'!$F$9&lt;&gt;"",'Your debts'!$F$13&lt;'Your debts'!$F$9),AQ174,0)+IF(AND('Your debts'!$F$14&lt;&gt;"",'Your debts'!$F$9&lt;&gt;"",'Your debts'!$F$14&lt;'Your debts'!$F$9),AV174,0)+IF(AND('Your debts'!$F$15&lt;&gt;"",'Your debts'!$F$9&lt;&gt;"",'Your debts'!$F$15&lt;'Your debts'!$F$9),BA174,0)))))</f>
        <v/>
      </c>
      <c r="Y174" s="33">
        <f>W174-X174</f>
        <v/>
      </c>
      <c r="Z174" s="33">
        <f>IF(AD173&lt;=0,0,ROUND(AD173*(1+'Your debts'!$D$10/1200),2))</f>
        <v/>
      </c>
      <c r="AA174" s="33">
        <f>IF(Z174&lt;=0,0,MIN('Your debts'!$E$10,Z174))</f>
        <v/>
      </c>
      <c r="AB174" s="33">
        <f>Z174-AA174</f>
        <v/>
      </c>
      <c r="AC174" s="33">
        <f>IF('Your debts'!$F$10="",0,MIN(AB174,MAX(0,MAX(0,'Your debts'!$C$19-(G174+L174+Q174+V174+AA174+AF174+AK174+AP174+AU174+AZ174))-(IF(AND('Your debts'!$F$6&lt;&gt;"",'Your debts'!$F$10&lt;&gt;"",'Your debts'!$F$6&lt;'Your debts'!$F$10),H174,0)+IF(AND('Your debts'!$F$7&lt;&gt;"",'Your debts'!$F$10&lt;&gt;"",'Your debts'!$F$7&lt;'Your debts'!$F$10),M174,0)+IF(AND('Your debts'!$F$8&lt;&gt;"",'Your debts'!$F$10&lt;&gt;"",'Your debts'!$F$8&lt;'Your debts'!$F$10),R174,0)+IF(AND('Your debts'!$F$9&lt;&gt;"",'Your debts'!$F$10&lt;&gt;"",'Your debts'!$F$9&lt;'Your debts'!$F$10),W174,0)+IF(AND('Your debts'!$F$11&lt;&gt;"",'Your debts'!$F$10&lt;&gt;"",'Your debts'!$F$11&lt;'Your debts'!$F$10),AG174,0)+IF(AND('Your debts'!$F$12&lt;&gt;"",'Your debts'!$F$10&lt;&gt;"",'Your debts'!$F$12&lt;'Your debts'!$F$10),AL174,0)+IF(AND('Your debts'!$F$13&lt;&gt;"",'Your debts'!$F$10&lt;&gt;"",'Your debts'!$F$13&lt;'Your debts'!$F$10),AQ174,0)+IF(AND('Your debts'!$F$14&lt;&gt;"",'Your debts'!$F$10&lt;&gt;"",'Your debts'!$F$14&lt;'Your debts'!$F$10),AV174,0)+IF(AND('Your debts'!$F$15&lt;&gt;"",'Your debts'!$F$10&lt;&gt;"",'Your debts'!$F$15&lt;'Your debts'!$F$10),BA174,0)))))</f>
        <v/>
      </c>
      <c r="AD174" s="33">
        <f>AB174-AC174</f>
        <v/>
      </c>
      <c r="AE174" s="33">
        <f>IF(AI173&lt;=0,0,ROUND(AI173*(1+'Your debts'!$D$11/1200),2))</f>
        <v/>
      </c>
      <c r="AF174" s="33">
        <f>IF(AE174&lt;=0,0,MIN('Your debts'!$E$11,AE174))</f>
        <v/>
      </c>
      <c r="AG174" s="33">
        <f>AE174-AF174</f>
        <v/>
      </c>
      <c r="AH174" s="33">
        <f>IF('Your debts'!$F$11="",0,MIN(AG174,MAX(0,MAX(0,'Your debts'!$C$19-(G174+L174+Q174+V174+AA174+AF174+AK174+AP174+AU174+AZ174))-(IF(AND('Your debts'!$F$6&lt;&gt;"",'Your debts'!$F$11&lt;&gt;"",'Your debts'!$F$6&lt;'Your debts'!$F$11),H174,0)+IF(AND('Your debts'!$F$7&lt;&gt;"",'Your debts'!$F$11&lt;&gt;"",'Your debts'!$F$7&lt;'Your debts'!$F$11),M174,0)+IF(AND('Your debts'!$F$8&lt;&gt;"",'Your debts'!$F$11&lt;&gt;"",'Your debts'!$F$8&lt;'Your debts'!$F$11),R174,0)+IF(AND('Your debts'!$F$9&lt;&gt;"",'Your debts'!$F$11&lt;&gt;"",'Your debts'!$F$9&lt;'Your debts'!$F$11),W174,0)+IF(AND('Your debts'!$F$10&lt;&gt;"",'Your debts'!$F$11&lt;&gt;"",'Your debts'!$F$10&lt;'Your debts'!$F$11),AB174,0)+IF(AND('Your debts'!$F$12&lt;&gt;"",'Your debts'!$F$11&lt;&gt;"",'Your debts'!$F$12&lt;'Your debts'!$F$11),AL174,0)+IF(AND('Your debts'!$F$13&lt;&gt;"",'Your debts'!$F$11&lt;&gt;"",'Your debts'!$F$13&lt;'Your debts'!$F$11),AQ174,0)+IF(AND('Your debts'!$F$14&lt;&gt;"",'Your debts'!$F$11&lt;&gt;"",'Your debts'!$F$14&lt;'Your debts'!$F$11),AV174,0)+IF(AND('Your debts'!$F$15&lt;&gt;"",'Your debts'!$F$11&lt;&gt;"",'Your debts'!$F$15&lt;'Your debts'!$F$11),BA174,0)))))</f>
        <v/>
      </c>
      <c r="AI174" s="33">
        <f>AG174-AH174</f>
        <v/>
      </c>
      <c r="AJ174" s="33">
        <f>IF(AN173&lt;=0,0,ROUND(AN173*(1+'Your debts'!$D$12/1200),2))</f>
        <v/>
      </c>
      <c r="AK174" s="33">
        <f>IF(AJ174&lt;=0,0,MIN('Your debts'!$E$12,AJ174))</f>
        <v/>
      </c>
      <c r="AL174" s="33">
        <f>AJ174-AK174</f>
        <v/>
      </c>
      <c r="AM174" s="33">
        <f>IF('Your debts'!$F$12="",0,MIN(AL174,MAX(0,MAX(0,'Your debts'!$C$19-(G174+L174+Q174+V174+AA174+AF174+AK174+AP174+AU174+AZ174))-(IF(AND('Your debts'!$F$6&lt;&gt;"",'Your debts'!$F$12&lt;&gt;"",'Your debts'!$F$6&lt;'Your debts'!$F$12),H174,0)+IF(AND('Your debts'!$F$7&lt;&gt;"",'Your debts'!$F$12&lt;&gt;"",'Your debts'!$F$7&lt;'Your debts'!$F$12),M174,0)+IF(AND('Your debts'!$F$8&lt;&gt;"",'Your debts'!$F$12&lt;&gt;"",'Your debts'!$F$8&lt;'Your debts'!$F$12),R174,0)+IF(AND('Your debts'!$F$9&lt;&gt;"",'Your debts'!$F$12&lt;&gt;"",'Your debts'!$F$9&lt;'Your debts'!$F$12),W174,0)+IF(AND('Your debts'!$F$10&lt;&gt;"",'Your debts'!$F$12&lt;&gt;"",'Your debts'!$F$10&lt;'Your debts'!$F$12),AB174,0)+IF(AND('Your debts'!$F$11&lt;&gt;"",'Your debts'!$F$12&lt;&gt;"",'Your debts'!$F$11&lt;'Your debts'!$F$12),AG174,0)+IF(AND('Your debts'!$F$13&lt;&gt;"",'Your debts'!$F$12&lt;&gt;"",'Your debts'!$F$13&lt;'Your debts'!$F$12),AQ174,0)+IF(AND('Your debts'!$F$14&lt;&gt;"",'Your debts'!$F$12&lt;&gt;"",'Your debts'!$F$14&lt;'Your debts'!$F$12),AV174,0)+IF(AND('Your debts'!$F$15&lt;&gt;"",'Your debts'!$F$12&lt;&gt;"",'Your debts'!$F$15&lt;'Your debts'!$F$12),BA174,0)))))</f>
        <v/>
      </c>
      <c r="AN174" s="33">
        <f>AL174-AM174</f>
        <v/>
      </c>
      <c r="AO174" s="33">
        <f>IF(AS173&lt;=0,0,ROUND(AS173*(1+'Your debts'!$D$13/1200),2))</f>
        <v/>
      </c>
      <c r="AP174" s="33">
        <f>IF(AO174&lt;=0,0,MIN('Your debts'!$E$13,AO174))</f>
        <v/>
      </c>
      <c r="AQ174" s="33">
        <f>AO174-AP174</f>
        <v/>
      </c>
      <c r="AR174" s="33">
        <f>IF('Your debts'!$F$13="",0,MIN(AQ174,MAX(0,MAX(0,'Your debts'!$C$19-(G174+L174+Q174+V174+AA174+AF174+AK174+AP174+AU174+AZ174))-(IF(AND('Your debts'!$F$6&lt;&gt;"",'Your debts'!$F$13&lt;&gt;"",'Your debts'!$F$6&lt;'Your debts'!$F$13),H174,0)+IF(AND('Your debts'!$F$7&lt;&gt;"",'Your debts'!$F$13&lt;&gt;"",'Your debts'!$F$7&lt;'Your debts'!$F$13),M174,0)+IF(AND('Your debts'!$F$8&lt;&gt;"",'Your debts'!$F$13&lt;&gt;"",'Your debts'!$F$8&lt;'Your debts'!$F$13),R174,0)+IF(AND('Your debts'!$F$9&lt;&gt;"",'Your debts'!$F$13&lt;&gt;"",'Your debts'!$F$9&lt;'Your debts'!$F$13),W174,0)+IF(AND('Your debts'!$F$10&lt;&gt;"",'Your debts'!$F$13&lt;&gt;"",'Your debts'!$F$10&lt;'Your debts'!$F$13),AB174,0)+IF(AND('Your debts'!$F$11&lt;&gt;"",'Your debts'!$F$13&lt;&gt;"",'Your debts'!$F$11&lt;'Your debts'!$F$13),AG174,0)+IF(AND('Your debts'!$F$12&lt;&gt;"",'Your debts'!$F$13&lt;&gt;"",'Your debts'!$F$12&lt;'Your debts'!$F$13),AL174,0)+IF(AND('Your debts'!$F$14&lt;&gt;"",'Your debts'!$F$13&lt;&gt;"",'Your debts'!$F$14&lt;'Your debts'!$F$13),AV174,0)+IF(AND('Your debts'!$F$15&lt;&gt;"",'Your debts'!$F$13&lt;&gt;"",'Your debts'!$F$15&lt;'Your debts'!$F$13),BA174,0)))))</f>
        <v/>
      </c>
      <c r="AS174" s="33">
        <f>AQ174-AR174</f>
        <v/>
      </c>
      <c r="AT174" s="33">
        <f>IF(AX173&lt;=0,0,ROUND(AX173*(1+'Your debts'!$D$14/1200),2))</f>
        <v/>
      </c>
      <c r="AU174" s="33">
        <f>IF(AT174&lt;=0,0,MIN('Your debts'!$E$14,AT174))</f>
        <v/>
      </c>
      <c r="AV174" s="33">
        <f>AT174-AU174</f>
        <v/>
      </c>
      <c r="AW174" s="33">
        <f>IF('Your debts'!$F$14="",0,MIN(AV174,MAX(0,MAX(0,'Your debts'!$C$19-(G174+L174+Q174+V174+AA174+AF174+AK174+AP174+AU174+AZ174))-(IF(AND('Your debts'!$F$6&lt;&gt;"",'Your debts'!$F$14&lt;&gt;"",'Your debts'!$F$6&lt;'Your debts'!$F$14),H174,0)+IF(AND('Your debts'!$F$7&lt;&gt;"",'Your debts'!$F$14&lt;&gt;"",'Your debts'!$F$7&lt;'Your debts'!$F$14),M174,0)+IF(AND('Your debts'!$F$8&lt;&gt;"",'Your debts'!$F$14&lt;&gt;"",'Your debts'!$F$8&lt;'Your debts'!$F$14),R174,0)+IF(AND('Your debts'!$F$9&lt;&gt;"",'Your debts'!$F$14&lt;&gt;"",'Your debts'!$F$9&lt;'Your debts'!$F$14),W174,0)+IF(AND('Your debts'!$F$10&lt;&gt;"",'Your debts'!$F$14&lt;&gt;"",'Your debts'!$F$10&lt;'Your debts'!$F$14),AB174,0)+IF(AND('Your debts'!$F$11&lt;&gt;"",'Your debts'!$F$14&lt;&gt;"",'Your debts'!$F$11&lt;'Your debts'!$F$14),AG174,0)+IF(AND('Your debts'!$F$12&lt;&gt;"",'Your debts'!$F$14&lt;&gt;"",'Your debts'!$F$12&lt;'Your debts'!$F$14),AL174,0)+IF(AND('Your debts'!$F$13&lt;&gt;"",'Your debts'!$F$14&lt;&gt;"",'Your debts'!$F$13&lt;'Your debts'!$F$14),AQ174,0)+IF(AND('Your debts'!$F$15&lt;&gt;"",'Your debts'!$F$14&lt;&gt;"",'Your debts'!$F$15&lt;'Your debts'!$F$14),BA174,0)))))</f>
        <v/>
      </c>
      <c r="AX174" s="33">
        <f>AV174-AW174</f>
        <v/>
      </c>
      <c r="AY174" s="33">
        <f>IF(BC173&lt;=0,0,ROUND(BC173*(1+'Your debts'!$D$15/1200),2))</f>
        <v/>
      </c>
      <c r="AZ174" s="33">
        <f>IF(AY174&lt;=0,0,MIN('Your debts'!$E$15,AY174))</f>
        <v/>
      </c>
      <c r="BA174" s="33">
        <f>AY174-AZ174</f>
        <v/>
      </c>
      <c r="BB174" s="33">
        <f>IF('Your debts'!$F$15="",0,MIN(BA174,MAX(0,MAX(0,'Your debts'!$C$19-(G174+L174+Q174+V174+AA174+AF174+AK174+AP174+AU174+AZ174))-(IF(AND('Your debts'!$F$6&lt;&gt;"",'Your debts'!$F$15&lt;&gt;"",'Your debts'!$F$6&lt;'Your debts'!$F$15),H174,0)+IF(AND('Your debts'!$F$7&lt;&gt;"",'Your debts'!$F$15&lt;&gt;"",'Your debts'!$F$7&lt;'Your debts'!$F$15),M174,0)+IF(AND('Your debts'!$F$8&lt;&gt;"",'Your debts'!$F$15&lt;&gt;"",'Your debts'!$F$8&lt;'Your debts'!$F$15),R174,0)+IF(AND('Your debts'!$F$9&lt;&gt;"",'Your debts'!$F$15&lt;&gt;"",'Your debts'!$F$9&lt;'Your debts'!$F$15),W174,0)+IF(AND('Your debts'!$F$10&lt;&gt;"",'Your debts'!$F$15&lt;&gt;"",'Your debts'!$F$10&lt;'Your debts'!$F$15),AB174,0)+IF(AND('Your debts'!$F$11&lt;&gt;"",'Your debts'!$F$15&lt;&gt;"",'Your debts'!$F$11&lt;'Your debts'!$F$15),AG174,0)+IF(AND('Your debts'!$F$12&lt;&gt;"",'Your debts'!$F$15&lt;&gt;"",'Your debts'!$F$12&lt;'Your debts'!$F$15),AL174,0)+IF(AND('Your debts'!$F$13&lt;&gt;"",'Your debts'!$F$15&lt;&gt;"",'Your debts'!$F$13&lt;'Your debts'!$F$15),AQ174,0)+IF(AND('Your debts'!$F$14&lt;&gt;"",'Your debts'!$F$15&lt;&gt;"",'Your debts'!$F$14&lt;'Your debts'!$F$15),AV174,0)))))</f>
        <v/>
      </c>
      <c r="BC174" s="33">
        <f>BA174-BB174</f>
        <v/>
      </c>
    </row>
    <row r="175">
      <c r="A175" s="30" t="n">
        <v>160</v>
      </c>
      <c r="B175" s="31">
        <f>EDATE($B$15,160)</f>
        <v/>
      </c>
      <c r="C175" s="32">
        <f>IF(J174&lt;=0,0,F175-J174)+IF(O174&lt;=0,0,K175-O174)+IF(T174&lt;=0,0,P175-T174)+IF(Y174&lt;=0,0,U175-Y174)+IF(AD174&lt;=0,0,Z175-AD174)+IF(AI174&lt;=0,0,AE175-AI174)+IF(AN174&lt;=0,0,AJ175-AN174)+IF(AS174&lt;=0,0,AO175-AS174)+IF(AX174&lt;=0,0,AT175-AX174)+IF(BC174&lt;=0,0,AY175-BC174)</f>
        <v/>
      </c>
      <c r="D175" s="32">
        <f>G175+I175+L175+N175+Q175+S175+V175+X175+AA175+AC175+AF175+AH175+AK175+AM175+AP175+AR175+AU175+AW175+AZ175+BB175</f>
        <v/>
      </c>
      <c r="E175" s="32">
        <f>J175+O175+T175+Y175+AD175+AI175+AN175+AS175+AX175+BC175</f>
        <v/>
      </c>
      <c r="F175" s="33">
        <f>IF(J174&lt;=0,0,ROUND(J174*(1+'Your debts'!$D$6/1200),2))</f>
        <v/>
      </c>
      <c r="G175" s="33">
        <f>IF(F175&lt;=0,0,MIN('Your debts'!$E$6,F175))</f>
        <v/>
      </c>
      <c r="H175" s="33">
        <f>F175-G175</f>
        <v/>
      </c>
      <c r="I175" s="33">
        <f>IF('Your debts'!$F$6="",0,MIN(H175,MAX(0,MAX(0,'Your debts'!$C$19-(G175+L175+Q175+V175+AA175+AF175+AK175+AP175+AU175+AZ175))-(IF(AND('Your debts'!$F$7&lt;&gt;"",'Your debts'!$F$6&lt;&gt;"",'Your debts'!$F$7&lt;'Your debts'!$F$6),M175,0)+IF(AND('Your debts'!$F$8&lt;&gt;"",'Your debts'!$F$6&lt;&gt;"",'Your debts'!$F$8&lt;'Your debts'!$F$6),R175,0)+IF(AND('Your debts'!$F$9&lt;&gt;"",'Your debts'!$F$6&lt;&gt;"",'Your debts'!$F$9&lt;'Your debts'!$F$6),W175,0)+IF(AND('Your debts'!$F$10&lt;&gt;"",'Your debts'!$F$6&lt;&gt;"",'Your debts'!$F$10&lt;'Your debts'!$F$6),AB175,0)+IF(AND('Your debts'!$F$11&lt;&gt;"",'Your debts'!$F$6&lt;&gt;"",'Your debts'!$F$11&lt;'Your debts'!$F$6),AG175,0)+IF(AND('Your debts'!$F$12&lt;&gt;"",'Your debts'!$F$6&lt;&gt;"",'Your debts'!$F$12&lt;'Your debts'!$F$6),AL175,0)+IF(AND('Your debts'!$F$13&lt;&gt;"",'Your debts'!$F$6&lt;&gt;"",'Your debts'!$F$13&lt;'Your debts'!$F$6),AQ175,0)+IF(AND('Your debts'!$F$14&lt;&gt;"",'Your debts'!$F$6&lt;&gt;"",'Your debts'!$F$14&lt;'Your debts'!$F$6),AV175,0)+IF(AND('Your debts'!$F$15&lt;&gt;"",'Your debts'!$F$6&lt;&gt;"",'Your debts'!$F$15&lt;'Your debts'!$F$6),BA175,0)))))</f>
        <v/>
      </c>
      <c r="J175" s="33">
        <f>H175-I175</f>
        <v/>
      </c>
      <c r="K175" s="33">
        <f>IF(O174&lt;=0,0,ROUND(O174*(1+'Your debts'!$D$7/1200),2))</f>
        <v/>
      </c>
      <c r="L175" s="33">
        <f>IF(K175&lt;=0,0,MIN('Your debts'!$E$7,K175))</f>
        <v/>
      </c>
      <c r="M175" s="33">
        <f>K175-L175</f>
        <v/>
      </c>
      <c r="N175" s="33">
        <f>IF('Your debts'!$F$7="",0,MIN(M175,MAX(0,MAX(0,'Your debts'!$C$19-(G175+L175+Q175+V175+AA175+AF175+AK175+AP175+AU175+AZ175))-(IF(AND('Your debts'!$F$6&lt;&gt;"",'Your debts'!$F$7&lt;&gt;"",'Your debts'!$F$6&lt;'Your debts'!$F$7),H175,0)+IF(AND('Your debts'!$F$8&lt;&gt;"",'Your debts'!$F$7&lt;&gt;"",'Your debts'!$F$8&lt;'Your debts'!$F$7),R175,0)+IF(AND('Your debts'!$F$9&lt;&gt;"",'Your debts'!$F$7&lt;&gt;"",'Your debts'!$F$9&lt;'Your debts'!$F$7),W175,0)+IF(AND('Your debts'!$F$10&lt;&gt;"",'Your debts'!$F$7&lt;&gt;"",'Your debts'!$F$10&lt;'Your debts'!$F$7),AB175,0)+IF(AND('Your debts'!$F$11&lt;&gt;"",'Your debts'!$F$7&lt;&gt;"",'Your debts'!$F$11&lt;'Your debts'!$F$7),AG175,0)+IF(AND('Your debts'!$F$12&lt;&gt;"",'Your debts'!$F$7&lt;&gt;"",'Your debts'!$F$12&lt;'Your debts'!$F$7),AL175,0)+IF(AND('Your debts'!$F$13&lt;&gt;"",'Your debts'!$F$7&lt;&gt;"",'Your debts'!$F$13&lt;'Your debts'!$F$7),AQ175,0)+IF(AND('Your debts'!$F$14&lt;&gt;"",'Your debts'!$F$7&lt;&gt;"",'Your debts'!$F$14&lt;'Your debts'!$F$7),AV175,0)+IF(AND('Your debts'!$F$15&lt;&gt;"",'Your debts'!$F$7&lt;&gt;"",'Your debts'!$F$15&lt;'Your debts'!$F$7),BA175,0)))))</f>
        <v/>
      </c>
      <c r="O175" s="33">
        <f>M175-N175</f>
        <v/>
      </c>
      <c r="P175" s="33">
        <f>IF(T174&lt;=0,0,ROUND(T174*(1+'Your debts'!$D$8/1200),2))</f>
        <v/>
      </c>
      <c r="Q175" s="33">
        <f>IF(P175&lt;=0,0,MIN('Your debts'!$E$8,P175))</f>
        <v/>
      </c>
      <c r="R175" s="33">
        <f>P175-Q175</f>
        <v/>
      </c>
      <c r="S175" s="33">
        <f>IF('Your debts'!$F$8="",0,MIN(R175,MAX(0,MAX(0,'Your debts'!$C$19-(G175+L175+Q175+V175+AA175+AF175+AK175+AP175+AU175+AZ175))-(IF(AND('Your debts'!$F$6&lt;&gt;"",'Your debts'!$F$8&lt;&gt;"",'Your debts'!$F$6&lt;'Your debts'!$F$8),H175,0)+IF(AND('Your debts'!$F$7&lt;&gt;"",'Your debts'!$F$8&lt;&gt;"",'Your debts'!$F$7&lt;'Your debts'!$F$8),M175,0)+IF(AND('Your debts'!$F$9&lt;&gt;"",'Your debts'!$F$8&lt;&gt;"",'Your debts'!$F$9&lt;'Your debts'!$F$8),W175,0)+IF(AND('Your debts'!$F$10&lt;&gt;"",'Your debts'!$F$8&lt;&gt;"",'Your debts'!$F$10&lt;'Your debts'!$F$8),AB175,0)+IF(AND('Your debts'!$F$11&lt;&gt;"",'Your debts'!$F$8&lt;&gt;"",'Your debts'!$F$11&lt;'Your debts'!$F$8),AG175,0)+IF(AND('Your debts'!$F$12&lt;&gt;"",'Your debts'!$F$8&lt;&gt;"",'Your debts'!$F$12&lt;'Your debts'!$F$8),AL175,0)+IF(AND('Your debts'!$F$13&lt;&gt;"",'Your debts'!$F$8&lt;&gt;"",'Your debts'!$F$13&lt;'Your debts'!$F$8),AQ175,0)+IF(AND('Your debts'!$F$14&lt;&gt;"",'Your debts'!$F$8&lt;&gt;"",'Your debts'!$F$14&lt;'Your debts'!$F$8),AV175,0)+IF(AND('Your debts'!$F$15&lt;&gt;"",'Your debts'!$F$8&lt;&gt;"",'Your debts'!$F$15&lt;'Your debts'!$F$8),BA175,0)))))</f>
        <v/>
      </c>
      <c r="T175" s="33">
        <f>R175-S175</f>
        <v/>
      </c>
      <c r="U175" s="33">
        <f>IF(Y174&lt;=0,0,ROUND(Y174*(1+'Your debts'!$D$9/1200),2))</f>
        <v/>
      </c>
      <c r="V175" s="33">
        <f>IF(U175&lt;=0,0,MIN('Your debts'!$E$9,U175))</f>
        <v/>
      </c>
      <c r="W175" s="33">
        <f>U175-V175</f>
        <v/>
      </c>
      <c r="X175" s="33">
        <f>IF('Your debts'!$F$9="",0,MIN(W175,MAX(0,MAX(0,'Your debts'!$C$19-(G175+L175+Q175+V175+AA175+AF175+AK175+AP175+AU175+AZ175))-(IF(AND('Your debts'!$F$6&lt;&gt;"",'Your debts'!$F$9&lt;&gt;"",'Your debts'!$F$6&lt;'Your debts'!$F$9),H175,0)+IF(AND('Your debts'!$F$7&lt;&gt;"",'Your debts'!$F$9&lt;&gt;"",'Your debts'!$F$7&lt;'Your debts'!$F$9),M175,0)+IF(AND('Your debts'!$F$8&lt;&gt;"",'Your debts'!$F$9&lt;&gt;"",'Your debts'!$F$8&lt;'Your debts'!$F$9),R175,0)+IF(AND('Your debts'!$F$10&lt;&gt;"",'Your debts'!$F$9&lt;&gt;"",'Your debts'!$F$10&lt;'Your debts'!$F$9),AB175,0)+IF(AND('Your debts'!$F$11&lt;&gt;"",'Your debts'!$F$9&lt;&gt;"",'Your debts'!$F$11&lt;'Your debts'!$F$9),AG175,0)+IF(AND('Your debts'!$F$12&lt;&gt;"",'Your debts'!$F$9&lt;&gt;"",'Your debts'!$F$12&lt;'Your debts'!$F$9),AL175,0)+IF(AND('Your debts'!$F$13&lt;&gt;"",'Your debts'!$F$9&lt;&gt;"",'Your debts'!$F$13&lt;'Your debts'!$F$9),AQ175,0)+IF(AND('Your debts'!$F$14&lt;&gt;"",'Your debts'!$F$9&lt;&gt;"",'Your debts'!$F$14&lt;'Your debts'!$F$9),AV175,0)+IF(AND('Your debts'!$F$15&lt;&gt;"",'Your debts'!$F$9&lt;&gt;"",'Your debts'!$F$15&lt;'Your debts'!$F$9),BA175,0)))))</f>
        <v/>
      </c>
      <c r="Y175" s="33">
        <f>W175-X175</f>
        <v/>
      </c>
      <c r="Z175" s="33">
        <f>IF(AD174&lt;=0,0,ROUND(AD174*(1+'Your debts'!$D$10/1200),2))</f>
        <v/>
      </c>
      <c r="AA175" s="33">
        <f>IF(Z175&lt;=0,0,MIN('Your debts'!$E$10,Z175))</f>
        <v/>
      </c>
      <c r="AB175" s="33">
        <f>Z175-AA175</f>
        <v/>
      </c>
      <c r="AC175" s="33">
        <f>IF('Your debts'!$F$10="",0,MIN(AB175,MAX(0,MAX(0,'Your debts'!$C$19-(G175+L175+Q175+V175+AA175+AF175+AK175+AP175+AU175+AZ175))-(IF(AND('Your debts'!$F$6&lt;&gt;"",'Your debts'!$F$10&lt;&gt;"",'Your debts'!$F$6&lt;'Your debts'!$F$10),H175,0)+IF(AND('Your debts'!$F$7&lt;&gt;"",'Your debts'!$F$10&lt;&gt;"",'Your debts'!$F$7&lt;'Your debts'!$F$10),M175,0)+IF(AND('Your debts'!$F$8&lt;&gt;"",'Your debts'!$F$10&lt;&gt;"",'Your debts'!$F$8&lt;'Your debts'!$F$10),R175,0)+IF(AND('Your debts'!$F$9&lt;&gt;"",'Your debts'!$F$10&lt;&gt;"",'Your debts'!$F$9&lt;'Your debts'!$F$10),W175,0)+IF(AND('Your debts'!$F$11&lt;&gt;"",'Your debts'!$F$10&lt;&gt;"",'Your debts'!$F$11&lt;'Your debts'!$F$10),AG175,0)+IF(AND('Your debts'!$F$12&lt;&gt;"",'Your debts'!$F$10&lt;&gt;"",'Your debts'!$F$12&lt;'Your debts'!$F$10),AL175,0)+IF(AND('Your debts'!$F$13&lt;&gt;"",'Your debts'!$F$10&lt;&gt;"",'Your debts'!$F$13&lt;'Your debts'!$F$10),AQ175,0)+IF(AND('Your debts'!$F$14&lt;&gt;"",'Your debts'!$F$10&lt;&gt;"",'Your debts'!$F$14&lt;'Your debts'!$F$10),AV175,0)+IF(AND('Your debts'!$F$15&lt;&gt;"",'Your debts'!$F$10&lt;&gt;"",'Your debts'!$F$15&lt;'Your debts'!$F$10),BA175,0)))))</f>
        <v/>
      </c>
      <c r="AD175" s="33">
        <f>AB175-AC175</f>
        <v/>
      </c>
      <c r="AE175" s="33">
        <f>IF(AI174&lt;=0,0,ROUND(AI174*(1+'Your debts'!$D$11/1200),2))</f>
        <v/>
      </c>
      <c r="AF175" s="33">
        <f>IF(AE175&lt;=0,0,MIN('Your debts'!$E$11,AE175))</f>
        <v/>
      </c>
      <c r="AG175" s="33">
        <f>AE175-AF175</f>
        <v/>
      </c>
      <c r="AH175" s="33">
        <f>IF('Your debts'!$F$11="",0,MIN(AG175,MAX(0,MAX(0,'Your debts'!$C$19-(G175+L175+Q175+V175+AA175+AF175+AK175+AP175+AU175+AZ175))-(IF(AND('Your debts'!$F$6&lt;&gt;"",'Your debts'!$F$11&lt;&gt;"",'Your debts'!$F$6&lt;'Your debts'!$F$11),H175,0)+IF(AND('Your debts'!$F$7&lt;&gt;"",'Your debts'!$F$11&lt;&gt;"",'Your debts'!$F$7&lt;'Your debts'!$F$11),M175,0)+IF(AND('Your debts'!$F$8&lt;&gt;"",'Your debts'!$F$11&lt;&gt;"",'Your debts'!$F$8&lt;'Your debts'!$F$11),R175,0)+IF(AND('Your debts'!$F$9&lt;&gt;"",'Your debts'!$F$11&lt;&gt;"",'Your debts'!$F$9&lt;'Your debts'!$F$11),W175,0)+IF(AND('Your debts'!$F$10&lt;&gt;"",'Your debts'!$F$11&lt;&gt;"",'Your debts'!$F$10&lt;'Your debts'!$F$11),AB175,0)+IF(AND('Your debts'!$F$12&lt;&gt;"",'Your debts'!$F$11&lt;&gt;"",'Your debts'!$F$12&lt;'Your debts'!$F$11),AL175,0)+IF(AND('Your debts'!$F$13&lt;&gt;"",'Your debts'!$F$11&lt;&gt;"",'Your debts'!$F$13&lt;'Your debts'!$F$11),AQ175,0)+IF(AND('Your debts'!$F$14&lt;&gt;"",'Your debts'!$F$11&lt;&gt;"",'Your debts'!$F$14&lt;'Your debts'!$F$11),AV175,0)+IF(AND('Your debts'!$F$15&lt;&gt;"",'Your debts'!$F$11&lt;&gt;"",'Your debts'!$F$15&lt;'Your debts'!$F$11),BA175,0)))))</f>
        <v/>
      </c>
      <c r="AI175" s="33">
        <f>AG175-AH175</f>
        <v/>
      </c>
      <c r="AJ175" s="33">
        <f>IF(AN174&lt;=0,0,ROUND(AN174*(1+'Your debts'!$D$12/1200),2))</f>
        <v/>
      </c>
      <c r="AK175" s="33">
        <f>IF(AJ175&lt;=0,0,MIN('Your debts'!$E$12,AJ175))</f>
        <v/>
      </c>
      <c r="AL175" s="33">
        <f>AJ175-AK175</f>
        <v/>
      </c>
      <c r="AM175" s="33">
        <f>IF('Your debts'!$F$12="",0,MIN(AL175,MAX(0,MAX(0,'Your debts'!$C$19-(G175+L175+Q175+V175+AA175+AF175+AK175+AP175+AU175+AZ175))-(IF(AND('Your debts'!$F$6&lt;&gt;"",'Your debts'!$F$12&lt;&gt;"",'Your debts'!$F$6&lt;'Your debts'!$F$12),H175,0)+IF(AND('Your debts'!$F$7&lt;&gt;"",'Your debts'!$F$12&lt;&gt;"",'Your debts'!$F$7&lt;'Your debts'!$F$12),M175,0)+IF(AND('Your debts'!$F$8&lt;&gt;"",'Your debts'!$F$12&lt;&gt;"",'Your debts'!$F$8&lt;'Your debts'!$F$12),R175,0)+IF(AND('Your debts'!$F$9&lt;&gt;"",'Your debts'!$F$12&lt;&gt;"",'Your debts'!$F$9&lt;'Your debts'!$F$12),W175,0)+IF(AND('Your debts'!$F$10&lt;&gt;"",'Your debts'!$F$12&lt;&gt;"",'Your debts'!$F$10&lt;'Your debts'!$F$12),AB175,0)+IF(AND('Your debts'!$F$11&lt;&gt;"",'Your debts'!$F$12&lt;&gt;"",'Your debts'!$F$11&lt;'Your debts'!$F$12),AG175,0)+IF(AND('Your debts'!$F$13&lt;&gt;"",'Your debts'!$F$12&lt;&gt;"",'Your debts'!$F$13&lt;'Your debts'!$F$12),AQ175,0)+IF(AND('Your debts'!$F$14&lt;&gt;"",'Your debts'!$F$12&lt;&gt;"",'Your debts'!$F$14&lt;'Your debts'!$F$12),AV175,0)+IF(AND('Your debts'!$F$15&lt;&gt;"",'Your debts'!$F$12&lt;&gt;"",'Your debts'!$F$15&lt;'Your debts'!$F$12),BA175,0)))))</f>
        <v/>
      </c>
      <c r="AN175" s="33">
        <f>AL175-AM175</f>
        <v/>
      </c>
      <c r="AO175" s="33">
        <f>IF(AS174&lt;=0,0,ROUND(AS174*(1+'Your debts'!$D$13/1200),2))</f>
        <v/>
      </c>
      <c r="AP175" s="33">
        <f>IF(AO175&lt;=0,0,MIN('Your debts'!$E$13,AO175))</f>
        <v/>
      </c>
      <c r="AQ175" s="33">
        <f>AO175-AP175</f>
        <v/>
      </c>
      <c r="AR175" s="33">
        <f>IF('Your debts'!$F$13="",0,MIN(AQ175,MAX(0,MAX(0,'Your debts'!$C$19-(G175+L175+Q175+V175+AA175+AF175+AK175+AP175+AU175+AZ175))-(IF(AND('Your debts'!$F$6&lt;&gt;"",'Your debts'!$F$13&lt;&gt;"",'Your debts'!$F$6&lt;'Your debts'!$F$13),H175,0)+IF(AND('Your debts'!$F$7&lt;&gt;"",'Your debts'!$F$13&lt;&gt;"",'Your debts'!$F$7&lt;'Your debts'!$F$13),M175,0)+IF(AND('Your debts'!$F$8&lt;&gt;"",'Your debts'!$F$13&lt;&gt;"",'Your debts'!$F$8&lt;'Your debts'!$F$13),R175,0)+IF(AND('Your debts'!$F$9&lt;&gt;"",'Your debts'!$F$13&lt;&gt;"",'Your debts'!$F$9&lt;'Your debts'!$F$13),W175,0)+IF(AND('Your debts'!$F$10&lt;&gt;"",'Your debts'!$F$13&lt;&gt;"",'Your debts'!$F$10&lt;'Your debts'!$F$13),AB175,0)+IF(AND('Your debts'!$F$11&lt;&gt;"",'Your debts'!$F$13&lt;&gt;"",'Your debts'!$F$11&lt;'Your debts'!$F$13),AG175,0)+IF(AND('Your debts'!$F$12&lt;&gt;"",'Your debts'!$F$13&lt;&gt;"",'Your debts'!$F$12&lt;'Your debts'!$F$13),AL175,0)+IF(AND('Your debts'!$F$14&lt;&gt;"",'Your debts'!$F$13&lt;&gt;"",'Your debts'!$F$14&lt;'Your debts'!$F$13),AV175,0)+IF(AND('Your debts'!$F$15&lt;&gt;"",'Your debts'!$F$13&lt;&gt;"",'Your debts'!$F$15&lt;'Your debts'!$F$13),BA175,0)))))</f>
        <v/>
      </c>
      <c r="AS175" s="33">
        <f>AQ175-AR175</f>
        <v/>
      </c>
      <c r="AT175" s="33">
        <f>IF(AX174&lt;=0,0,ROUND(AX174*(1+'Your debts'!$D$14/1200),2))</f>
        <v/>
      </c>
      <c r="AU175" s="33">
        <f>IF(AT175&lt;=0,0,MIN('Your debts'!$E$14,AT175))</f>
        <v/>
      </c>
      <c r="AV175" s="33">
        <f>AT175-AU175</f>
        <v/>
      </c>
      <c r="AW175" s="33">
        <f>IF('Your debts'!$F$14="",0,MIN(AV175,MAX(0,MAX(0,'Your debts'!$C$19-(G175+L175+Q175+V175+AA175+AF175+AK175+AP175+AU175+AZ175))-(IF(AND('Your debts'!$F$6&lt;&gt;"",'Your debts'!$F$14&lt;&gt;"",'Your debts'!$F$6&lt;'Your debts'!$F$14),H175,0)+IF(AND('Your debts'!$F$7&lt;&gt;"",'Your debts'!$F$14&lt;&gt;"",'Your debts'!$F$7&lt;'Your debts'!$F$14),M175,0)+IF(AND('Your debts'!$F$8&lt;&gt;"",'Your debts'!$F$14&lt;&gt;"",'Your debts'!$F$8&lt;'Your debts'!$F$14),R175,0)+IF(AND('Your debts'!$F$9&lt;&gt;"",'Your debts'!$F$14&lt;&gt;"",'Your debts'!$F$9&lt;'Your debts'!$F$14),W175,0)+IF(AND('Your debts'!$F$10&lt;&gt;"",'Your debts'!$F$14&lt;&gt;"",'Your debts'!$F$10&lt;'Your debts'!$F$14),AB175,0)+IF(AND('Your debts'!$F$11&lt;&gt;"",'Your debts'!$F$14&lt;&gt;"",'Your debts'!$F$11&lt;'Your debts'!$F$14),AG175,0)+IF(AND('Your debts'!$F$12&lt;&gt;"",'Your debts'!$F$14&lt;&gt;"",'Your debts'!$F$12&lt;'Your debts'!$F$14),AL175,0)+IF(AND('Your debts'!$F$13&lt;&gt;"",'Your debts'!$F$14&lt;&gt;"",'Your debts'!$F$13&lt;'Your debts'!$F$14),AQ175,0)+IF(AND('Your debts'!$F$15&lt;&gt;"",'Your debts'!$F$14&lt;&gt;"",'Your debts'!$F$15&lt;'Your debts'!$F$14),BA175,0)))))</f>
        <v/>
      </c>
      <c r="AX175" s="33">
        <f>AV175-AW175</f>
        <v/>
      </c>
      <c r="AY175" s="33">
        <f>IF(BC174&lt;=0,0,ROUND(BC174*(1+'Your debts'!$D$15/1200),2))</f>
        <v/>
      </c>
      <c r="AZ175" s="33">
        <f>IF(AY175&lt;=0,0,MIN('Your debts'!$E$15,AY175))</f>
        <v/>
      </c>
      <c r="BA175" s="33">
        <f>AY175-AZ175</f>
        <v/>
      </c>
      <c r="BB175" s="33">
        <f>IF('Your debts'!$F$15="",0,MIN(BA175,MAX(0,MAX(0,'Your debts'!$C$19-(G175+L175+Q175+V175+AA175+AF175+AK175+AP175+AU175+AZ175))-(IF(AND('Your debts'!$F$6&lt;&gt;"",'Your debts'!$F$15&lt;&gt;"",'Your debts'!$F$6&lt;'Your debts'!$F$15),H175,0)+IF(AND('Your debts'!$F$7&lt;&gt;"",'Your debts'!$F$15&lt;&gt;"",'Your debts'!$F$7&lt;'Your debts'!$F$15),M175,0)+IF(AND('Your debts'!$F$8&lt;&gt;"",'Your debts'!$F$15&lt;&gt;"",'Your debts'!$F$8&lt;'Your debts'!$F$15),R175,0)+IF(AND('Your debts'!$F$9&lt;&gt;"",'Your debts'!$F$15&lt;&gt;"",'Your debts'!$F$9&lt;'Your debts'!$F$15),W175,0)+IF(AND('Your debts'!$F$10&lt;&gt;"",'Your debts'!$F$15&lt;&gt;"",'Your debts'!$F$10&lt;'Your debts'!$F$15),AB175,0)+IF(AND('Your debts'!$F$11&lt;&gt;"",'Your debts'!$F$15&lt;&gt;"",'Your debts'!$F$11&lt;'Your debts'!$F$15),AG175,0)+IF(AND('Your debts'!$F$12&lt;&gt;"",'Your debts'!$F$15&lt;&gt;"",'Your debts'!$F$12&lt;'Your debts'!$F$15),AL175,0)+IF(AND('Your debts'!$F$13&lt;&gt;"",'Your debts'!$F$15&lt;&gt;"",'Your debts'!$F$13&lt;'Your debts'!$F$15),AQ175,0)+IF(AND('Your debts'!$F$14&lt;&gt;"",'Your debts'!$F$15&lt;&gt;"",'Your debts'!$F$14&lt;'Your debts'!$F$15),AV175,0)))))</f>
        <v/>
      </c>
      <c r="BC175" s="33">
        <f>BA175-BB175</f>
        <v/>
      </c>
    </row>
    <row r="176">
      <c r="A176" s="30" t="n">
        <v>161</v>
      </c>
      <c r="B176" s="31">
        <f>EDATE($B$15,161)</f>
        <v/>
      </c>
      <c r="C176" s="32">
        <f>IF(J175&lt;=0,0,F176-J175)+IF(O175&lt;=0,0,K176-O175)+IF(T175&lt;=0,0,P176-T175)+IF(Y175&lt;=0,0,U176-Y175)+IF(AD175&lt;=0,0,Z176-AD175)+IF(AI175&lt;=0,0,AE176-AI175)+IF(AN175&lt;=0,0,AJ176-AN175)+IF(AS175&lt;=0,0,AO176-AS175)+IF(AX175&lt;=0,0,AT176-AX175)+IF(BC175&lt;=0,0,AY176-BC175)</f>
        <v/>
      </c>
      <c r="D176" s="32">
        <f>G176+I176+L176+N176+Q176+S176+V176+X176+AA176+AC176+AF176+AH176+AK176+AM176+AP176+AR176+AU176+AW176+AZ176+BB176</f>
        <v/>
      </c>
      <c r="E176" s="32">
        <f>J176+O176+T176+Y176+AD176+AI176+AN176+AS176+AX176+BC176</f>
        <v/>
      </c>
      <c r="F176" s="33">
        <f>IF(J175&lt;=0,0,ROUND(J175*(1+'Your debts'!$D$6/1200),2))</f>
        <v/>
      </c>
      <c r="G176" s="33">
        <f>IF(F176&lt;=0,0,MIN('Your debts'!$E$6,F176))</f>
        <v/>
      </c>
      <c r="H176" s="33">
        <f>F176-G176</f>
        <v/>
      </c>
      <c r="I176" s="33">
        <f>IF('Your debts'!$F$6="",0,MIN(H176,MAX(0,MAX(0,'Your debts'!$C$19-(G176+L176+Q176+V176+AA176+AF176+AK176+AP176+AU176+AZ176))-(IF(AND('Your debts'!$F$7&lt;&gt;"",'Your debts'!$F$6&lt;&gt;"",'Your debts'!$F$7&lt;'Your debts'!$F$6),M176,0)+IF(AND('Your debts'!$F$8&lt;&gt;"",'Your debts'!$F$6&lt;&gt;"",'Your debts'!$F$8&lt;'Your debts'!$F$6),R176,0)+IF(AND('Your debts'!$F$9&lt;&gt;"",'Your debts'!$F$6&lt;&gt;"",'Your debts'!$F$9&lt;'Your debts'!$F$6),W176,0)+IF(AND('Your debts'!$F$10&lt;&gt;"",'Your debts'!$F$6&lt;&gt;"",'Your debts'!$F$10&lt;'Your debts'!$F$6),AB176,0)+IF(AND('Your debts'!$F$11&lt;&gt;"",'Your debts'!$F$6&lt;&gt;"",'Your debts'!$F$11&lt;'Your debts'!$F$6),AG176,0)+IF(AND('Your debts'!$F$12&lt;&gt;"",'Your debts'!$F$6&lt;&gt;"",'Your debts'!$F$12&lt;'Your debts'!$F$6),AL176,0)+IF(AND('Your debts'!$F$13&lt;&gt;"",'Your debts'!$F$6&lt;&gt;"",'Your debts'!$F$13&lt;'Your debts'!$F$6),AQ176,0)+IF(AND('Your debts'!$F$14&lt;&gt;"",'Your debts'!$F$6&lt;&gt;"",'Your debts'!$F$14&lt;'Your debts'!$F$6),AV176,0)+IF(AND('Your debts'!$F$15&lt;&gt;"",'Your debts'!$F$6&lt;&gt;"",'Your debts'!$F$15&lt;'Your debts'!$F$6),BA176,0)))))</f>
        <v/>
      </c>
      <c r="J176" s="33">
        <f>H176-I176</f>
        <v/>
      </c>
      <c r="K176" s="33">
        <f>IF(O175&lt;=0,0,ROUND(O175*(1+'Your debts'!$D$7/1200),2))</f>
        <v/>
      </c>
      <c r="L176" s="33">
        <f>IF(K176&lt;=0,0,MIN('Your debts'!$E$7,K176))</f>
        <v/>
      </c>
      <c r="M176" s="33">
        <f>K176-L176</f>
        <v/>
      </c>
      <c r="N176" s="33">
        <f>IF('Your debts'!$F$7="",0,MIN(M176,MAX(0,MAX(0,'Your debts'!$C$19-(G176+L176+Q176+V176+AA176+AF176+AK176+AP176+AU176+AZ176))-(IF(AND('Your debts'!$F$6&lt;&gt;"",'Your debts'!$F$7&lt;&gt;"",'Your debts'!$F$6&lt;'Your debts'!$F$7),H176,0)+IF(AND('Your debts'!$F$8&lt;&gt;"",'Your debts'!$F$7&lt;&gt;"",'Your debts'!$F$8&lt;'Your debts'!$F$7),R176,0)+IF(AND('Your debts'!$F$9&lt;&gt;"",'Your debts'!$F$7&lt;&gt;"",'Your debts'!$F$9&lt;'Your debts'!$F$7),W176,0)+IF(AND('Your debts'!$F$10&lt;&gt;"",'Your debts'!$F$7&lt;&gt;"",'Your debts'!$F$10&lt;'Your debts'!$F$7),AB176,0)+IF(AND('Your debts'!$F$11&lt;&gt;"",'Your debts'!$F$7&lt;&gt;"",'Your debts'!$F$11&lt;'Your debts'!$F$7),AG176,0)+IF(AND('Your debts'!$F$12&lt;&gt;"",'Your debts'!$F$7&lt;&gt;"",'Your debts'!$F$12&lt;'Your debts'!$F$7),AL176,0)+IF(AND('Your debts'!$F$13&lt;&gt;"",'Your debts'!$F$7&lt;&gt;"",'Your debts'!$F$13&lt;'Your debts'!$F$7),AQ176,0)+IF(AND('Your debts'!$F$14&lt;&gt;"",'Your debts'!$F$7&lt;&gt;"",'Your debts'!$F$14&lt;'Your debts'!$F$7),AV176,0)+IF(AND('Your debts'!$F$15&lt;&gt;"",'Your debts'!$F$7&lt;&gt;"",'Your debts'!$F$15&lt;'Your debts'!$F$7),BA176,0)))))</f>
        <v/>
      </c>
      <c r="O176" s="33">
        <f>M176-N176</f>
        <v/>
      </c>
      <c r="P176" s="33">
        <f>IF(T175&lt;=0,0,ROUND(T175*(1+'Your debts'!$D$8/1200),2))</f>
        <v/>
      </c>
      <c r="Q176" s="33">
        <f>IF(P176&lt;=0,0,MIN('Your debts'!$E$8,P176))</f>
        <v/>
      </c>
      <c r="R176" s="33">
        <f>P176-Q176</f>
        <v/>
      </c>
      <c r="S176" s="33">
        <f>IF('Your debts'!$F$8="",0,MIN(R176,MAX(0,MAX(0,'Your debts'!$C$19-(G176+L176+Q176+V176+AA176+AF176+AK176+AP176+AU176+AZ176))-(IF(AND('Your debts'!$F$6&lt;&gt;"",'Your debts'!$F$8&lt;&gt;"",'Your debts'!$F$6&lt;'Your debts'!$F$8),H176,0)+IF(AND('Your debts'!$F$7&lt;&gt;"",'Your debts'!$F$8&lt;&gt;"",'Your debts'!$F$7&lt;'Your debts'!$F$8),M176,0)+IF(AND('Your debts'!$F$9&lt;&gt;"",'Your debts'!$F$8&lt;&gt;"",'Your debts'!$F$9&lt;'Your debts'!$F$8),W176,0)+IF(AND('Your debts'!$F$10&lt;&gt;"",'Your debts'!$F$8&lt;&gt;"",'Your debts'!$F$10&lt;'Your debts'!$F$8),AB176,0)+IF(AND('Your debts'!$F$11&lt;&gt;"",'Your debts'!$F$8&lt;&gt;"",'Your debts'!$F$11&lt;'Your debts'!$F$8),AG176,0)+IF(AND('Your debts'!$F$12&lt;&gt;"",'Your debts'!$F$8&lt;&gt;"",'Your debts'!$F$12&lt;'Your debts'!$F$8),AL176,0)+IF(AND('Your debts'!$F$13&lt;&gt;"",'Your debts'!$F$8&lt;&gt;"",'Your debts'!$F$13&lt;'Your debts'!$F$8),AQ176,0)+IF(AND('Your debts'!$F$14&lt;&gt;"",'Your debts'!$F$8&lt;&gt;"",'Your debts'!$F$14&lt;'Your debts'!$F$8),AV176,0)+IF(AND('Your debts'!$F$15&lt;&gt;"",'Your debts'!$F$8&lt;&gt;"",'Your debts'!$F$15&lt;'Your debts'!$F$8),BA176,0)))))</f>
        <v/>
      </c>
      <c r="T176" s="33">
        <f>R176-S176</f>
        <v/>
      </c>
      <c r="U176" s="33">
        <f>IF(Y175&lt;=0,0,ROUND(Y175*(1+'Your debts'!$D$9/1200),2))</f>
        <v/>
      </c>
      <c r="V176" s="33">
        <f>IF(U176&lt;=0,0,MIN('Your debts'!$E$9,U176))</f>
        <v/>
      </c>
      <c r="W176" s="33">
        <f>U176-V176</f>
        <v/>
      </c>
      <c r="X176" s="33">
        <f>IF('Your debts'!$F$9="",0,MIN(W176,MAX(0,MAX(0,'Your debts'!$C$19-(G176+L176+Q176+V176+AA176+AF176+AK176+AP176+AU176+AZ176))-(IF(AND('Your debts'!$F$6&lt;&gt;"",'Your debts'!$F$9&lt;&gt;"",'Your debts'!$F$6&lt;'Your debts'!$F$9),H176,0)+IF(AND('Your debts'!$F$7&lt;&gt;"",'Your debts'!$F$9&lt;&gt;"",'Your debts'!$F$7&lt;'Your debts'!$F$9),M176,0)+IF(AND('Your debts'!$F$8&lt;&gt;"",'Your debts'!$F$9&lt;&gt;"",'Your debts'!$F$8&lt;'Your debts'!$F$9),R176,0)+IF(AND('Your debts'!$F$10&lt;&gt;"",'Your debts'!$F$9&lt;&gt;"",'Your debts'!$F$10&lt;'Your debts'!$F$9),AB176,0)+IF(AND('Your debts'!$F$11&lt;&gt;"",'Your debts'!$F$9&lt;&gt;"",'Your debts'!$F$11&lt;'Your debts'!$F$9),AG176,0)+IF(AND('Your debts'!$F$12&lt;&gt;"",'Your debts'!$F$9&lt;&gt;"",'Your debts'!$F$12&lt;'Your debts'!$F$9),AL176,0)+IF(AND('Your debts'!$F$13&lt;&gt;"",'Your debts'!$F$9&lt;&gt;"",'Your debts'!$F$13&lt;'Your debts'!$F$9),AQ176,0)+IF(AND('Your debts'!$F$14&lt;&gt;"",'Your debts'!$F$9&lt;&gt;"",'Your debts'!$F$14&lt;'Your debts'!$F$9),AV176,0)+IF(AND('Your debts'!$F$15&lt;&gt;"",'Your debts'!$F$9&lt;&gt;"",'Your debts'!$F$15&lt;'Your debts'!$F$9),BA176,0)))))</f>
        <v/>
      </c>
      <c r="Y176" s="33">
        <f>W176-X176</f>
        <v/>
      </c>
      <c r="Z176" s="33">
        <f>IF(AD175&lt;=0,0,ROUND(AD175*(1+'Your debts'!$D$10/1200),2))</f>
        <v/>
      </c>
      <c r="AA176" s="33">
        <f>IF(Z176&lt;=0,0,MIN('Your debts'!$E$10,Z176))</f>
        <v/>
      </c>
      <c r="AB176" s="33">
        <f>Z176-AA176</f>
        <v/>
      </c>
      <c r="AC176" s="33">
        <f>IF('Your debts'!$F$10="",0,MIN(AB176,MAX(0,MAX(0,'Your debts'!$C$19-(G176+L176+Q176+V176+AA176+AF176+AK176+AP176+AU176+AZ176))-(IF(AND('Your debts'!$F$6&lt;&gt;"",'Your debts'!$F$10&lt;&gt;"",'Your debts'!$F$6&lt;'Your debts'!$F$10),H176,0)+IF(AND('Your debts'!$F$7&lt;&gt;"",'Your debts'!$F$10&lt;&gt;"",'Your debts'!$F$7&lt;'Your debts'!$F$10),M176,0)+IF(AND('Your debts'!$F$8&lt;&gt;"",'Your debts'!$F$10&lt;&gt;"",'Your debts'!$F$8&lt;'Your debts'!$F$10),R176,0)+IF(AND('Your debts'!$F$9&lt;&gt;"",'Your debts'!$F$10&lt;&gt;"",'Your debts'!$F$9&lt;'Your debts'!$F$10),W176,0)+IF(AND('Your debts'!$F$11&lt;&gt;"",'Your debts'!$F$10&lt;&gt;"",'Your debts'!$F$11&lt;'Your debts'!$F$10),AG176,0)+IF(AND('Your debts'!$F$12&lt;&gt;"",'Your debts'!$F$10&lt;&gt;"",'Your debts'!$F$12&lt;'Your debts'!$F$10),AL176,0)+IF(AND('Your debts'!$F$13&lt;&gt;"",'Your debts'!$F$10&lt;&gt;"",'Your debts'!$F$13&lt;'Your debts'!$F$10),AQ176,0)+IF(AND('Your debts'!$F$14&lt;&gt;"",'Your debts'!$F$10&lt;&gt;"",'Your debts'!$F$14&lt;'Your debts'!$F$10),AV176,0)+IF(AND('Your debts'!$F$15&lt;&gt;"",'Your debts'!$F$10&lt;&gt;"",'Your debts'!$F$15&lt;'Your debts'!$F$10),BA176,0)))))</f>
        <v/>
      </c>
      <c r="AD176" s="33">
        <f>AB176-AC176</f>
        <v/>
      </c>
      <c r="AE176" s="33">
        <f>IF(AI175&lt;=0,0,ROUND(AI175*(1+'Your debts'!$D$11/1200),2))</f>
        <v/>
      </c>
      <c r="AF176" s="33">
        <f>IF(AE176&lt;=0,0,MIN('Your debts'!$E$11,AE176))</f>
        <v/>
      </c>
      <c r="AG176" s="33">
        <f>AE176-AF176</f>
        <v/>
      </c>
      <c r="AH176" s="33">
        <f>IF('Your debts'!$F$11="",0,MIN(AG176,MAX(0,MAX(0,'Your debts'!$C$19-(G176+L176+Q176+V176+AA176+AF176+AK176+AP176+AU176+AZ176))-(IF(AND('Your debts'!$F$6&lt;&gt;"",'Your debts'!$F$11&lt;&gt;"",'Your debts'!$F$6&lt;'Your debts'!$F$11),H176,0)+IF(AND('Your debts'!$F$7&lt;&gt;"",'Your debts'!$F$11&lt;&gt;"",'Your debts'!$F$7&lt;'Your debts'!$F$11),M176,0)+IF(AND('Your debts'!$F$8&lt;&gt;"",'Your debts'!$F$11&lt;&gt;"",'Your debts'!$F$8&lt;'Your debts'!$F$11),R176,0)+IF(AND('Your debts'!$F$9&lt;&gt;"",'Your debts'!$F$11&lt;&gt;"",'Your debts'!$F$9&lt;'Your debts'!$F$11),W176,0)+IF(AND('Your debts'!$F$10&lt;&gt;"",'Your debts'!$F$11&lt;&gt;"",'Your debts'!$F$10&lt;'Your debts'!$F$11),AB176,0)+IF(AND('Your debts'!$F$12&lt;&gt;"",'Your debts'!$F$11&lt;&gt;"",'Your debts'!$F$12&lt;'Your debts'!$F$11),AL176,0)+IF(AND('Your debts'!$F$13&lt;&gt;"",'Your debts'!$F$11&lt;&gt;"",'Your debts'!$F$13&lt;'Your debts'!$F$11),AQ176,0)+IF(AND('Your debts'!$F$14&lt;&gt;"",'Your debts'!$F$11&lt;&gt;"",'Your debts'!$F$14&lt;'Your debts'!$F$11),AV176,0)+IF(AND('Your debts'!$F$15&lt;&gt;"",'Your debts'!$F$11&lt;&gt;"",'Your debts'!$F$15&lt;'Your debts'!$F$11),BA176,0)))))</f>
        <v/>
      </c>
      <c r="AI176" s="33">
        <f>AG176-AH176</f>
        <v/>
      </c>
      <c r="AJ176" s="33">
        <f>IF(AN175&lt;=0,0,ROUND(AN175*(1+'Your debts'!$D$12/1200),2))</f>
        <v/>
      </c>
      <c r="AK176" s="33">
        <f>IF(AJ176&lt;=0,0,MIN('Your debts'!$E$12,AJ176))</f>
        <v/>
      </c>
      <c r="AL176" s="33">
        <f>AJ176-AK176</f>
        <v/>
      </c>
      <c r="AM176" s="33">
        <f>IF('Your debts'!$F$12="",0,MIN(AL176,MAX(0,MAX(0,'Your debts'!$C$19-(G176+L176+Q176+V176+AA176+AF176+AK176+AP176+AU176+AZ176))-(IF(AND('Your debts'!$F$6&lt;&gt;"",'Your debts'!$F$12&lt;&gt;"",'Your debts'!$F$6&lt;'Your debts'!$F$12),H176,0)+IF(AND('Your debts'!$F$7&lt;&gt;"",'Your debts'!$F$12&lt;&gt;"",'Your debts'!$F$7&lt;'Your debts'!$F$12),M176,0)+IF(AND('Your debts'!$F$8&lt;&gt;"",'Your debts'!$F$12&lt;&gt;"",'Your debts'!$F$8&lt;'Your debts'!$F$12),R176,0)+IF(AND('Your debts'!$F$9&lt;&gt;"",'Your debts'!$F$12&lt;&gt;"",'Your debts'!$F$9&lt;'Your debts'!$F$12),W176,0)+IF(AND('Your debts'!$F$10&lt;&gt;"",'Your debts'!$F$12&lt;&gt;"",'Your debts'!$F$10&lt;'Your debts'!$F$12),AB176,0)+IF(AND('Your debts'!$F$11&lt;&gt;"",'Your debts'!$F$12&lt;&gt;"",'Your debts'!$F$11&lt;'Your debts'!$F$12),AG176,0)+IF(AND('Your debts'!$F$13&lt;&gt;"",'Your debts'!$F$12&lt;&gt;"",'Your debts'!$F$13&lt;'Your debts'!$F$12),AQ176,0)+IF(AND('Your debts'!$F$14&lt;&gt;"",'Your debts'!$F$12&lt;&gt;"",'Your debts'!$F$14&lt;'Your debts'!$F$12),AV176,0)+IF(AND('Your debts'!$F$15&lt;&gt;"",'Your debts'!$F$12&lt;&gt;"",'Your debts'!$F$15&lt;'Your debts'!$F$12),BA176,0)))))</f>
        <v/>
      </c>
      <c r="AN176" s="33">
        <f>AL176-AM176</f>
        <v/>
      </c>
      <c r="AO176" s="33">
        <f>IF(AS175&lt;=0,0,ROUND(AS175*(1+'Your debts'!$D$13/1200),2))</f>
        <v/>
      </c>
      <c r="AP176" s="33">
        <f>IF(AO176&lt;=0,0,MIN('Your debts'!$E$13,AO176))</f>
        <v/>
      </c>
      <c r="AQ176" s="33">
        <f>AO176-AP176</f>
        <v/>
      </c>
      <c r="AR176" s="33">
        <f>IF('Your debts'!$F$13="",0,MIN(AQ176,MAX(0,MAX(0,'Your debts'!$C$19-(G176+L176+Q176+V176+AA176+AF176+AK176+AP176+AU176+AZ176))-(IF(AND('Your debts'!$F$6&lt;&gt;"",'Your debts'!$F$13&lt;&gt;"",'Your debts'!$F$6&lt;'Your debts'!$F$13),H176,0)+IF(AND('Your debts'!$F$7&lt;&gt;"",'Your debts'!$F$13&lt;&gt;"",'Your debts'!$F$7&lt;'Your debts'!$F$13),M176,0)+IF(AND('Your debts'!$F$8&lt;&gt;"",'Your debts'!$F$13&lt;&gt;"",'Your debts'!$F$8&lt;'Your debts'!$F$13),R176,0)+IF(AND('Your debts'!$F$9&lt;&gt;"",'Your debts'!$F$13&lt;&gt;"",'Your debts'!$F$9&lt;'Your debts'!$F$13),W176,0)+IF(AND('Your debts'!$F$10&lt;&gt;"",'Your debts'!$F$13&lt;&gt;"",'Your debts'!$F$10&lt;'Your debts'!$F$13),AB176,0)+IF(AND('Your debts'!$F$11&lt;&gt;"",'Your debts'!$F$13&lt;&gt;"",'Your debts'!$F$11&lt;'Your debts'!$F$13),AG176,0)+IF(AND('Your debts'!$F$12&lt;&gt;"",'Your debts'!$F$13&lt;&gt;"",'Your debts'!$F$12&lt;'Your debts'!$F$13),AL176,0)+IF(AND('Your debts'!$F$14&lt;&gt;"",'Your debts'!$F$13&lt;&gt;"",'Your debts'!$F$14&lt;'Your debts'!$F$13),AV176,0)+IF(AND('Your debts'!$F$15&lt;&gt;"",'Your debts'!$F$13&lt;&gt;"",'Your debts'!$F$15&lt;'Your debts'!$F$13),BA176,0)))))</f>
        <v/>
      </c>
      <c r="AS176" s="33">
        <f>AQ176-AR176</f>
        <v/>
      </c>
      <c r="AT176" s="33">
        <f>IF(AX175&lt;=0,0,ROUND(AX175*(1+'Your debts'!$D$14/1200),2))</f>
        <v/>
      </c>
      <c r="AU176" s="33">
        <f>IF(AT176&lt;=0,0,MIN('Your debts'!$E$14,AT176))</f>
        <v/>
      </c>
      <c r="AV176" s="33">
        <f>AT176-AU176</f>
        <v/>
      </c>
      <c r="AW176" s="33">
        <f>IF('Your debts'!$F$14="",0,MIN(AV176,MAX(0,MAX(0,'Your debts'!$C$19-(G176+L176+Q176+V176+AA176+AF176+AK176+AP176+AU176+AZ176))-(IF(AND('Your debts'!$F$6&lt;&gt;"",'Your debts'!$F$14&lt;&gt;"",'Your debts'!$F$6&lt;'Your debts'!$F$14),H176,0)+IF(AND('Your debts'!$F$7&lt;&gt;"",'Your debts'!$F$14&lt;&gt;"",'Your debts'!$F$7&lt;'Your debts'!$F$14),M176,0)+IF(AND('Your debts'!$F$8&lt;&gt;"",'Your debts'!$F$14&lt;&gt;"",'Your debts'!$F$8&lt;'Your debts'!$F$14),R176,0)+IF(AND('Your debts'!$F$9&lt;&gt;"",'Your debts'!$F$14&lt;&gt;"",'Your debts'!$F$9&lt;'Your debts'!$F$14),W176,0)+IF(AND('Your debts'!$F$10&lt;&gt;"",'Your debts'!$F$14&lt;&gt;"",'Your debts'!$F$10&lt;'Your debts'!$F$14),AB176,0)+IF(AND('Your debts'!$F$11&lt;&gt;"",'Your debts'!$F$14&lt;&gt;"",'Your debts'!$F$11&lt;'Your debts'!$F$14),AG176,0)+IF(AND('Your debts'!$F$12&lt;&gt;"",'Your debts'!$F$14&lt;&gt;"",'Your debts'!$F$12&lt;'Your debts'!$F$14),AL176,0)+IF(AND('Your debts'!$F$13&lt;&gt;"",'Your debts'!$F$14&lt;&gt;"",'Your debts'!$F$13&lt;'Your debts'!$F$14),AQ176,0)+IF(AND('Your debts'!$F$15&lt;&gt;"",'Your debts'!$F$14&lt;&gt;"",'Your debts'!$F$15&lt;'Your debts'!$F$14),BA176,0)))))</f>
        <v/>
      </c>
      <c r="AX176" s="33">
        <f>AV176-AW176</f>
        <v/>
      </c>
      <c r="AY176" s="33">
        <f>IF(BC175&lt;=0,0,ROUND(BC175*(1+'Your debts'!$D$15/1200),2))</f>
        <v/>
      </c>
      <c r="AZ176" s="33">
        <f>IF(AY176&lt;=0,0,MIN('Your debts'!$E$15,AY176))</f>
        <v/>
      </c>
      <c r="BA176" s="33">
        <f>AY176-AZ176</f>
        <v/>
      </c>
      <c r="BB176" s="33">
        <f>IF('Your debts'!$F$15="",0,MIN(BA176,MAX(0,MAX(0,'Your debts'!$C$19-(G176+L176+Q176+V176+AA176+AF176+AK176+AP176+AU176+AZ176))-(IF(AND('Your debts'!$F$6&lt;&gt;"",'Your debts'!$F$15&lt;&gt;"",'Your debts'!$F$6&lt;'Your debts'!$F$15),H176,0)+IF(AND('Your debts'!$F$7&lt;&gt;"",'Your debts'!$F$15&lt;&gt;"",'Your debts'!$F$7&lt;'Your debts'!$F$15),M176,0)+IF(AND('Your debts'!$F$8&lt;&gt;"",'Your debts'!$F$15&lt;&gt;"",'Your debts'!$F$8&lt;'Your debts'!$F$15),R176,0)+IF(AND('Your debts'!$F$9&lt;&gt;"",'Your debts'!$F$15&lt;&gt;"",'Your debts'!$F$9&lt;'Your debts'!$F$15),W176,0)+IF(AND('Your debts'!$F$10&lt;&gt;"",'Your debts'!$F$15&lt;&gt;"",'Your debts'!$F$10&lt;'Your debts'!$F$15),AB176,0)+IF(AND('Your debts'!$F$11&lt;&gt;"",'Your debts'!$F$15&lt;&gt;"",'Your debts'!$F$11&lt;'Your debts'!$F$15),AG176,0)+IF(AND('Your debts'!$F$12&lt;&gt;"",'Your debts'!$F$15&lt;&gt;"",'Your debts'!$F$12&lt;'Your debts'!$F$15),AL176,0)+IF(AND('Your debts'!$F$13&lt;&gt;"",'Your debts'!$F$15&lt;&gt;"",'Your debts'!$F$13&lt;'Your debts'!$F$15),AQ176,0)+IF(AND('Your debts'!$F$14&lt;&gt;"",'Your debts'!$F$15&lt;&gt;"",'Your debts'!$F$14&lt;'Your debts'!$F$15),AV176,0)))))</f>
        <v/>
      </c>
      <c r="BC176" s="33">
        <f>BA176-BB176</f>
        <v/>
      </c>
    </row>
    <row r="177">
      <c r="A177" s="30" t="n">
        <v>162</v>
      </c>
      <c r="B177" s="31">
        <f>EDATE($B$15,162)</f>
        <v/>
      </c>
      <c r="C177" s="32">
        <f>IF(J176&lt;=0,0,F177-J176)+IF(O176&lt;=0,0,K177-O176)+IF(T176&lt;=0,0,P177-T176)+IF(Y176&lt;=0,0,U177-Y176)+IF(AD176&lt;=0,0,Z177-AD176)+IF(AI176&lt;=0,0,AE177-AI176)+IF(AN176&lt;=0,0,AJ177-AN176)+IF(AS176&lt;=0,0,AO177-AS176)+IF(AX176&lt;=0,0,AT177-AX176)+IF(BC176&lt;=0,0,AY177-BC176)</f>
        <v/>
      </c>
      <c r="D177" s="32">
        <f>G177+I177+L177+N177+Q177+S177+V177+X177+AA177+AC177+AF177+AH177+AK177+AM177+AP177+AR177+AU177+AW177+AZ177+BB177</f>
        <v/>
      </c>
      <c r="E177" s="32">
        <f>J177+O177+T177+Y177+AD177+AI177+AN177+AS177+AX177+BC177</f>
        <v/>
      </c>
      <c r="F177" s="33">
        <f>IF(J176&lt;=0,0,ROUND(J176*(1+'Your debts'!$D$6/1200),2))</f>
        <v/>
      </c>
      <c r="G177" s="33">
        <f>IF(F177&lt;=0,0,MIN('Your debts'!$E$6,F177))</f>
        <v/>
      </c>
      <c r="H177" s="33">
        <f>F177-G177</f>
        <v/>
      </c>
      <c r="I177" s="33">
        <f>IF('Your debts'!$F$6="",0,MIN(H177,MAX(0,MAX(0,'Your debts'!$C$19-(G177+L177+Q177+V177+AA177+AF177+AK177+AP177+AU177+AZ177))-(IF(AND('Your debts'!$F$7&lt;&gt;"",'Your debts'!$F$6&lt;&gt;"",'Your debts'!$F$7&lt;'Your debts'!$F$6),M177,0)+IF(AND('Your debts'!$F$8&lt;&gt;"",'Your debts'!$F$6&lt;&gt;"",'Your debts'!$F$8&lt;'Your debts'!$F$6),R177,0)+IF(AND('Your debts'!$F$9&lt;&gt;"",'Your debts'!$F$6&lt;&gt;"",'Your debts'!$F$9&lt;'Your debts'!$F$6),W177,0)+IF(AND('Your debts'!$F$10&lt;&gt;"",'Your debts'!$F$6&lt;&gt;"",'Your debts'!$F$10&lt;'Your debts'!$F$6),AB177,0)+IF(AND('Your debts'!$F$11&lt;&gt;"",'Your debts'!$F$6&lt;&gt;"",'Your debts'!$F$11&lt;'Your debts'!$F$6),AG177,0)+IF(AND('Your debts'!$F$12&lt;&gt;"",'Your debts'!$F$6&lt;&gt;"",'Your debts'!$F$12&lt;'Your debts'!$F$6),AL177,0)+IF(AND('Your debts'!$F$13&lt;&gt;"",'Your debts'!$F$6&lt;&gt;"",'Your debts'!$F$13&lt;'Your debts'!$F$6),AQ177,0)+IF(AND('Your debts'!$F$14&lt;&gt;"",'Your debts'!$F$6&lt;&gt;"",'Your debts'!$F$14&lt;'Your debts'!$F$6),AV177,0)+IF(AND('Your debts'!$F$15&lt;&gt;"",'Your debts'!$F$6&lt;&gt;"",'Your debts'!$F$15&lt;'Your debts'!$F$6),BA177,0)))))</f>
        <v/>
      </c>
      <c r="J177" s="33">
        <f>H177-I177</f>
        <v/>
      </c>
      <c r="K177" s="33">
        <f>IF(O176&lt;=0,0,ROUND(O176*(1+'Your debts'!$D$7/1200),2))</f>
        <v/>
      </c>
      <c r="L177" s="33">
        <f>IF(K177&lt;=0,0,MIN('Your debts'!$E$7,K177))</f>
        <v/>
      </c>
      <c r="M177" s="33">
        <f>K177-L177</f>
        <v/>
      </c>
      <c r="N177" s="33">
        <f>IF('Your debts'!$F$7="",0,MIN(M177,MAX(0,MAX(0,'Your debts'!$C$19-(G177+L177+Q177+V177+AA177+AF177+AK177+AP177+AU177+AZ177))-(IF(AND('Your debts'!$F$6&lt;&gt;"",'Your debts'!$F$7&lt;&gt;"",'Your debts'!$F$6&lt;'Your debts'!$F$7),H177,0)+IF(AND('Your debts'!$F$8&lt;&gt;"",'Your debts'!$F$7&lt;&gt;"",'Your debts'!$F$8&lt;'Your debts'!$F$7),R177,0)+IF(AND('Your debts'!$F$9&lt;&gt;"",'Your debts'!$F$7&lt;&gt;"",'Your debts'!$F$9&lt;'Your debts'!$F$7),W177,0)+IF(AND('Your debts'!$F$10&lt;&gt;"",'Your debts'!$F$7&lt;&gt;"",'Your debts'!$F$10&lt;'Your debts'!$F$7),AB177,0)+IF(AND('Your debts'!$F$11&lt;&gt;"",'Your debts'!$F$7&lt;&gt;"",'Your debts'!$F$11&lt;'Your debts'!$F$7),AG177,0)+IF(AND('Your debts'!$F$12&lt;&gt;"",'Your debts'!$F$7&lt;&gt;"",'Your debts'!$F$12&lt;'Your debts'!$F$7),AL177,0)+IF(AND('Your debts'!$F$13&lt;&gt;"",'Your debts'!$F$7&lt;&gt;"",'Your debts'!$F$13&lt;'Your debts'!$F$7),AQ177,0)+IF(AND('Your debts'!$F$14&lt;&gt;"",'Your debts'!$F$7&lt;&gt;"",'Your debts'!$F$14&lt;'Your debts'!$F$7),AV177,0)+IF(AND('Your debts'!$F$15&lt;&gt;"",'Your debts'!$F$7&lt;&gt;"",'Your debts'!$F$15&lt;'Your debts'!$F$7),BA177,0)))))</f>
        <v/>
      </c>
      <c r="O177" s="33">
        <f>M177-N177</f>
        <v/>
      </c>
      <c r="P177" s="33">
        <f>IF(T176&lt;=0,0,ROUND(T176*(1+'Your debts'!$D$8/1200),2))</f>
        <v/>
      </c>
      <c r="Q177" s="33">
        <f>IF(P177&lt;=0,0,MIN('Your debts'!$E$8,P177))</f>
        <v/>
      </c>
      <c r="R177" s="33">
        <f>P177-Q177</f>
        <v/>
      </c>
      <c r="S177" s="33">
        <f>IF('Your debts'!$F$8="",0,MIN(R177,MAX(0,MAX(0,'Your debts'!$C$19-(G177+L177+Q177+V177+AA177+AF177+AK177+AP177+AU177+AZ177))-(IF(AND('Your debts'!$F$6&lt;&gt;"",'Your debts'!$F$8&lt;&gt;"",'Your debts'!$F$6&lt;'Your debts'!$F$8),H177,0)+IF(AND('Your debts'!$F$7&lt;&gt;"",'Your debts'!$F$8&lt;&gt;"",'Your debts'!$F$7&lt;'Your debts'!$F$8),M177,0)+IF(AND('Your debts'!$F$9&lt;&gt;"",'Your debts'!$F$8&lt;&gt;"",'Your debts'!$F$9&lt;'Your debts'!$F$8),W177,0)+IF(AND('Your debts'!$F$10&lt;&gt;"",'Your debts'!$F$8&lt;&gt;"",'Your debts'!$F$10&lt;'Your debts'!$F$8),AB177,0)+IF(AND('Your debts'!$F$11&lt;&gt;"",'Your debts'!$F$8&lt;&gt;"",'Your debts'!$F$11&lt;'Your debts'!$F$8),AG177,0)+IF(AND('Your debts'!$F$12&lt;&gt;"",'Your debts'!$F$8&lt;&gt;"",'Your debts'!$F$12&lt;'Your debts'!$F$8),AL177,0)+IF(AND('Your debts'!$F$13&lt;&gt;"",'Your debts'!$F$8&lt;&gt;"",'Your debts'!$F$13&lt;'Your debts'!$F$8),AQ177,0)+IF(AND('Your debts'!$F$14&lt;&gt;"",'Your debts'!$F$8&lt;&gt;"",'Your debts'!$F$14&lt;'Your debts'!$F$8),AV177,0)+IF(AND('Your debts'!$F$15&lt;&gt;"",'Your debts'!$F$8&lt;&gt;"",'Your debts'!$F$15&lt;'Your debts'!$F$8),BA177,0)))))</f>
        <v/>
      </c>
      <c r="T177" s="33">
        <f>R177-S177</f>
        <v/>
      </c>
      <c r="U177" s="33">
        <f>IF(Y176&lt;=0,0,ROUND(Y176*(1+'Your debts'!$D$9/1200),2))</f>
        <v/>
      </c>
      <c r="V177" s="33">
        <f>IF(U177&lt;=0,0,MIN('Your debts'!$E$9,U177))</f>
        <v/>
      </c>
      <c r="W177" s="33">
        <f>U177-V177</f>
        <v/>
      </c>
      <c r="X177" s="33">
        <f>IF('Your debts'!$F$9="",0,MIN(W177,MAX(0,MAX(0,'Your debts'!$C$19-(G177+L177+Q177+V177+AA177+AF177+AK177+AP177+AU177+AZ177))-(IF(AND('Your debts'!$F$6&lt;&gt;"",'Your debts'!$F$9&lt;&gt;"",'Your debts'!$F$6&lt;'Your debts'!$F$9),H177,0)+IF(AND('Your debts'!$F$7&lt;&gt;"",'Your debts'!$F$9&lt;&gt;"",'Your debts'!$F$7&lt;'Your debts'!$F$9),M177,0)+IF(AND('Your debts'!$F$8&lt;&gt;"",'Your debts'!$F$9&lt;&gt;"",'Your debts'!$F$8&lt;'Your debts'!$F$9),R177,0)+IF(AND('Your debts'!$F$10&lt;&gt;"",'Your debts'!$F$9&lt;&gt;"",'Your debts'!$F$10&lt;'Your debts'!$F$9),AB177,0)+IF(AND('Your debts'!$F$11&lt;&gt;"",'Your debts'!$F$9&lt;&gt;"",'Your debts'!$F$11&lt;'Your debts'!$F$9),AG177,0)+IF(AND('Your debts'!$F$12&lt;&gt;"",'Your debts'!$F$9&lt;&gt;"",'Your debts'!$F$12&lt;'Your debts'!$F$9),AL177,0)+IF(AND('Your debts'!$F$13&lt;&gt;"",'Your debts'!$F$9&lt;&gt;"",'Your debts'!$F$13&lt;'Your debts'!$F$9),AQ177,0)+IF(AND('Your debts'!$F$14&lt;&gt;"",'Your debts'!$F$9&lt;&gt;"",'Your debts'!$F$14&lt;'Your debts'!$F$9),AV177,0)+IF(AND('Your debts'!$F$15&lt;&gt;"",'Your debts'!$F$9&lt;&gt;"",'Your debts'!$F$15&lt;'Your debts'!$F$9),BA177,0)))))</f>
        <v/>
      </c>
      <c r="Y177" s="33">
        <f>W177-X177</f>
        <v/>
      </c>
      <c r="Z177" s="33">
        <f>IF(AD176&lt;=0,0,ROUND(AD176*(1+'Your debts'!$D$10/1200),2))</f>
        <v/>
      </c>
      <c r="AA177" s="33">
        <f>IF(Z177&lt;=0,0,MIN('Your debts'!$E$10,Z177))</f>
        <v/>
      </c>
      <c r="AB177" s="33">
        <f>Z177-AA177</f>
        <v/>
      </c>
      <c r="AC177" s="33">
        <f>IF('Your debts'!$F$10="",0,MIN(AB177,MAX(0,MAX(0,'Your debts'!$C$19-(G177+L177+Q177+V177+AA177+AF177+AK177+AP177+AU177+AZ177))-(IF(AND('Your debts'!$F$6&lt;&gt;"",'Your debts'!$F$10&lt;&gt;"",'Your debts'!$F$6&lt;'Your debts'!$F$10),H177,0)+IF(AND('Your debts'!$F$7&lt;&gt;"",'Your debts'!$F$10&lt;&gt;"",'Your debts'!$F$7&lt;'Your debts'!$F$10),M177,0)+IF(AND('Your debts'!$F$8&lt;&gt;"",'Your debts'!$F$10&lt;&gt;"",'Your debts'!$F$8&lt;'Your debts'!$F$10),R177,0)+IF(AND('Your debts'!$F$9&lt;&gt;"",'Your debts'!$F$10&lt;&gt;"",'Your debts'!$F$9&lt;'Your debts'!$F$10),W177,0)+IF(AND('Your debts'!$F$11&lt;&gt;"",'Your debts'!$F$10&lt;&gt;"",'Your debts'!$F$11&lt;'Your debts'!$F$10),AG177,0)+IF(AND('Your debts'!$F$12&lt;&gt;"",'Your debts'!$F$10&lt;&gt;"",'Your debts'!$F$12&lt;'Your debts'!$F$10),AL177,0)+IF(AND('Your debts'!$F$13&lt;&gt;"",'Your debts'!$F$10&lt;&gt;"",'Your debts'!$F$13&lt;'Your debts'!$F$10),AQ177,0)+IF(AND('Your debts'!$F$14&lt;&gt;"",'Your debts'!$F$10&lt;&gt;"",'Your debts'!$F$14&lt;'Your debts'!$F$10),AV177,0)+IF(AND('Your debts'!$F$15&lt;&gt;"",'Your debts'!$F$10&lt;&gt;"",'Your debts'!$F$15&lt;'Your debts'!$F$10),BA177,0)))))</f>
        <v/>
      </c>
      <c r="AD177" s="33">
        <f>AB177-AC177</f>
        <v/>
      </c>
      <c r="AE177" s="33">
        <f>IF(AI176&lt;=0,0,ROUND(AI176*(1+'Your debts'!$D$11/1200),2))</f>
        <v/>
      </c>
      <c r="AF177" s="33">
        <f>IF(AE177&lt;=0,0,MIN('Your debts'!$E$11,AE177))</f>
        <v/>
      </c>
      <c r="AG177" s="33">
        <f>AE177-AF177</f>
        <v/>
      </c>
      <c r="AH177" s="33">
        <f>IF('Your debts'!$F$11="",0,MIN(AG177,MAX(0,MAX(0,'Your debts'!$C$19-(G177+L177+Q177+V177+AA177+AF177+AK177+AP177+AU177+AZ177))-(IF(AND('Your debts'!$F$6&lt;&gt;"",'Your debts'!$F$11&lt;&gt;"",'Your debts'!$F$6&lt;'Your debts'!$F$11),H177,0)+IF(AND('Your debts'!$F$7&lt;&gt;"",'Your debts'!$F$11&lt;&gt;"",'Your debts'!$F$7&lt;'Your debts'!$F$11),M177,0)+IF(AND('Your debts'!$F$8&lt;&gt;"",'Your debts'!$F$11&lt;&gt;"",'Your debts'!$F$8&lt;'Your debts'!$F$11),R177,0)+IF(AND('Your debts'!$F$9&lt;&gt;"",'Your debts'!$F$11&lt;&gt;"",'Your debts'!$F$9&lt;'Your debts'!$F$11),W177,0)+IF(AND('Your debts'!$F$10&lt;&gt;"",'Your debts'!$F$11&lt;&gt;"",'Your debts'!$F$10&lt;'Your debts'!$F$11),AB177,0)+IF(AND('Your debts'!$F$12&lt;&gt;"",'Your debts'!$F$11&lt;&gt;"",'Your debts'!$F$12&lt;'Your debts'!$F$11),AL177,0)+IF(AND('Your debts'!$F$13&lt;&gt;"",'Your debts'!$F$11&lt;&gt;"",'Your debts'!$F$13&lt;'Your debts'!$F$11),AQ177,0)+IF(AND('Your debts'!$F$14&lt;&gt;"",'Your debts'!$F$11&lt;&gt;"",'Your debts'!$F$14&lt;'Your debts'!$F$11),AV177,0)+IF(AND('Your debts'!$F$15&lt;&gt;"",'Your debts'!$F$11&lt;&gt;"",'Your debts'!$F$15&lt;'Your debts'!$F$11),BA177,0)))))</f>
        <v/>
      </c>
      <c r="AI177" s="33">
        <f>AG177-AH177</f>
        <v/>
      </c>
      <c r="AJ177" s="33">
        <f>IF(AN176&lt;=0,0,ROUND(AN176*(1+'Your debts'!$D$12/1200),2))</f>
        <v/>
      </c>
      <c r="AK177" s="33">
        <f>IF(AJ177&lt;=0,0,MIN('Your debts'!$E$12,AJ177))</f>
        <v/>
      </c>
      <c r="AL177" s="33">
        <f>AJ177-AK177</f>
        <v/>
      </c>
      <c r="AM177" s="33">
        <f>IF('Your debts'!$F$12="",0,MIN(AL177,MAX(0,MAX(0,'Your debts'!$C$19-(G177+L177+Q177+V177+AA177+AF177+AK177+AP177+AU177+AZ177))-(IF(AND('Your debts'!$F$6&lt;&gt;"",'Your debts'!$F$12&lt;&gt;"",'Your debts'!$F$6&lt;'Your debts'!$F$12),H177,0)+IF(AND('Your debts'!$F$7&lt;&gt;"",'Your debts'!$F$12&lt;&gt;"",'Your debts'!$F$7&lt;'Your debts'!$F$12),M177,0)+IF(AND('Your debts'!$F$8&lt;&gt;"",'Your debts'!$F$12&lt;&gt;"",'Your debts'!$F$8&lt;'Your debts'!$F$12),R177,0)+IF(AND('Your debts'!$F$9&lt;&gt;"",'Your debts'!$F$12&lt;&gt;"",'Your debts'!$F$9&lt;'Your debts'!$F$12),W177,0)+IF(AND('Your debts'!$F$10&lt;&gt;"",'Your debts'!$F$12&lt;&gt;"",'Your debts'!$F$10&lt;'Your debts'!$F$12),AB177,0)+IF(AND('Your debts'!$F$11&lt;&gt;"",'Your debts'!$F$12&lt;&gt;"",'Your debts'!$F$11&lt;'Your debts'!$F$12),AG177,0)+IF(AND('Your debts'!$F$13&lt;&gt;"",'Your debts'!$F$12&lt;&gt;"",'Your debts'!$F$13&lt;'Your debts'!$F$12),AQ177,0)+IF(AND('Your debts'!$F$14&lt;&gt;"",'Your debts'!$F$12&lt;&gt;"",'Your debts'!$F$14&lt;'Your debts'!$F$12),AV177,0)+IF(AND('Your debts'!$F$15&lt;&gt;"",'Your debts'!$F$12&lt;&gt;"",'Your debts'!$F$15&lt;'Your debts'!$F$12),BA177,0)))))</f>
        <v/>
      </c>
      <c r="AN177" s="33">
        <f>AL177-AM177</f>
        <v/>
      </c>
      <c r="AO177" s="33">
        <f>IF(AS176&lt;=0,0,ROUND(AS176*(1+'Your debts'!$D$13/1200),2))</f>
        <v/>
      </c>
      <c r="AP177" s="33">
        <f>IF(AO177&lt;=0,0,MIN('Your debts'!$E$13,AO177))</f>
        <v/>
      </c>
      <c r="AQ177" s="33">
        <f>AO177-AP177</f>
        <v/>
      </c>
      <c r="AR177" s="33">
        <f>IF('Your debts'!$F$13="",0,MIN(AQ177,MAX(0,MAX(0,'Your debts'!$C$19-(G177+L177+Q177+V177+AA177+AF177+AK177+AP177+AU177+AZ177))-(IF(AND('Your debts'!$F$6&lt;&gt;"",'Your debts'!$F$13&lt;&gt;"",'Your debts'!$F$6&lt;'Your debts'!$F$13),H177,0)+IF(AND('Your debts'!$F$7&lt;&gt;"",'Your debts'!$F$13&lt;&gt;"",'Your debts'!$F$7&lt;'Your debts'!$F$13),M177,0)+IF(AND('Your debts'!$F$8&lt;&gt;"",'Your debts'!$F$13&lt;&gt;"",'Your debts'!$F$8&lt;'Your debts'!$F$13),R177,0)+IF(AND('Your debts'!$F$9&lt;&gt;"",'Your debts'!$F$13&lt;&gt;"",'Your debts'!$F$9&lt;'Your debts'!$F$13),W177,0)+IF(AND('Your debts'!$F$10&lt;&gt;"",'Your debts'!$F$13&lt;&gt;"",'Your debts'!$F$10&lt;'Your debts'!$F$13),AB177,0)+IF(AND('Your debts'!$F$11&lt;&gt;"",'Your debts'!$F$13&lt;&gt;"",'Your debts'!$F$11&lt;'Your debts'!$F$13),AG177,0)+IF(AND('Your debts'!$F$12&lt;&gt;"",'Your debts'!$F$13&lt;&gt;"",'Your debts'!$F$12&lt;'Your debts'!$F$13),AL177,0)+IF(AND('Your debts'!$F$14&lt;&gt;"",'Your debts'!$F$13&lt;&gt;"",'Your debts'!$F$14&lt;'Your debts'!$F$13),AV177,0)+IF(AND('Your debts'!$F$15&lt;&gt;"",'Your debts'!$F$13&lt;&gt;"",'Your debts'!$F$15&lt;'Your debts'!$F$13),BA177,0)))))</f>
        <v/>
      </c>
      <c r="AS177" s="33">
        <f>AQ177-AR177</f>
        <v/>
      </c>
      <c r="AT177" s="33">
        <f>IF(AX176&lt;=0,0,ROUND(AX176*(1+'Your debts'!$D$14/1200),2))</f>
        <v/>
      </c>
      <c r="AU177" s="33">
        <f>IF(AT177&lt;=0,0,MIN('Your debts'!$E$14,AT177))</f>
        <v/>
      </c>
      <c r="AV177" s="33">
        <f>AT177-AU177</f>
        <v/>
      </c>
      <c r="AW177" s="33">
        <f>IF('Your debts'!$F$14="",0,MIN(AV177,MAX(0,MAX(0,'Your debts'!$C$19-(G177+L177+Q177+V177+AA177+AF177+AK177+AP177+AU177+AZ177))-(IF(AND('Your debts'!$F$6&lt;&gt;"",'Your debts'!$F$14&lt;&gt;"",'Your debts'!$F$6&lt;'Your debts'!$F$14),H177,0)+IF(AND('Your debts'!$F$7&lt;&gt;"",'Your debts'!$F$14&lt;&gt;"",'Your debts'!$F$7&lt;'Your debts'!$F$14),M177,0)+IF(AND('Your debts'!$F$8&lt;&gt;"",'Your debts'!$F$14&lt;&gt;"",'Your debts'!$F$8&lt;'Your debts'!$F$14),R177,0)+IF(AND('Your debts'!$F$9&lt;&gt;"",'Your debts'!$F$14&lt;&gt;"",'Your debts'!$F$9&lt;'Your debts'!$F$14),W177,0)+IF(AND('Your debts'!$F$10&lt;&gt;"",'Your debts'!$F$14&lt;&gt;"",'Your debts'!$F$10&lt;'Your debts'!$F$14),AB177,0)+IF(AND('Your debts'!$F$11&lt;&gt;"",'Your debts'!$F$14&lt;&gt;"",'Your debts'!$F$11&lt;'Your debts'!$F$14),AG177,0)+IF(AND('Your debts'!$F$12&lt;&gt;"",'Your debts'!$F$14&lt;&gt;"",'Your debts'!$F$12&lt;'Your debts'!$F$14),AL177,0)+IF(AND('Your debts'!$F$13&lt;&gt;"",'Your debts'!$F$14&lt;&gt;"",'Your debts'!$F$13&lt;'Your debts'!$F$14),AQ177,0)+IF(AND('Your debts'!$F$15&lt;&gt;"",'Your debts'!$F$14&lt;&gt;"",'Your debts'!$F$15&lt;'Your debts'!$F$14),BA177,0)))))</f>
        <v/>
      </c>
      <c r="AX177" s="33">
        <f>AV177-AW177</f>
        <v/>
      </c>
      <c r="AY177" s="33">
        <f>IF(BC176&lt;=0,0,ROUND(BC176*(1+'Your debts'!$D$15/1200),2))</f>
        <v/>
      </c>
      <c r="AZ177" s="33">
        <f>IF(AY177&lt;=0,0,MIN('Your debts'!$E$15,AY177))</f>
        <v/>
      </c>
      <c r="BA177" s="33">
        <f>AY177-AZ177</f>
        <v/>
      </c>
      <c r="BB177" s="33">
        <f>IF('Your debts'!$F$15="",0,MIN(BA177,MAX(0,MAX(0,'Your debts'!$C$19-(G177+L177+Q177+V177+AA177+AF177+AK177+AP177+AU177+AZ177))-(IF(AND('Your debts'!$F$6&lt;&gt;"",'Your debts'!$F$15&lt;&gt;"",'Your debts'!$F$6&lt;'Your debts'!$F$15),H177,0)+IF(AND('Your debts'!$F$7&lt;&gt;"",'Your debts'!$F$15&lt;&gt;"",'Your debts'!$F$7&lt;'Your debts'!$F$15),M177,0)+IF(AND('Your debts'!$F$8&lt;&gt;"",'Your debts'!$F$15&lt;&gt;"",'Your debts'!$F$8&lt;'Your debts'!$F$15),R177,0)+IF(AND('Your debts'!$F$9&lt;&gt;"",'Your debts'!$F$15&lt;&gt;"",'Your debts'!$F$9&lt;'Your debts'!$F$15),W177,0)+IF(AND('Your debts'!$F$10&lt;&gt;"",'Your debts'!$F$15&lt;&gt;"",'Your debts'!$F$10&lt;'Your debts'!$F$15),AB177,0)+IF(AND('Your debts'!$F$11&lt;&gt;"",'Your debts'!$F$15&lt;&gt;"",'Your debts'!$F$11&lt;'Your debts'!$F$15),AG177,0)+IF(AND('Your debts'!$F$12&lt;&gt;"",'Your debts'!$F$15&lt;&gt;"",'Your debts'!$F$12&lt;'Your debts'!$F$15),AL177,0)+IF(AND('Your debts'!$F$13&lt;&gt;"",'Your debts'!$F$15&lt;&gt;"",'Your debts'!$F$13&lt;'Your debts'!$F$15),AQ177,0)+IF(AND('Your debts'!$F$14&lt;&gt;"",'Your debts'!$F$15&lt;&gt;"",'Your debts'!$F$14&lt;'Your debts'!$F$15),AV177,0)))))</f>
        <v/>
      </c>
      <c r="BC177" s="33">
        <f>BA177-BB177</f>
        <v/>
      </c>
    </row>
    <row r="178">
      <c r="A178" s="30" t="n">
        <v>163</v>
      </c>
      <c r="B178" s="31">
        <f>EDATE($B$15,163)</f>
        <v/>
      </c>
      <c r="C178" s="32">
        <f>IF(J177&lt;=0,0,F178-J177)+IF(O177&lt;=0,0,K178-O177)+IF(T177&lt;=0,0,P178-T177)+IF(Y177&lt;=0,0,U178-Y177)+IF(AD177&lt;=0,0,Z178-AD177)+IF(AI177&lt;=0,0,AE178-AI177)+IF(AN177&lt;=0,0,AJ178-AN177)+IF(AS177&lt;=0,0,AO178-AS177)+IF(AX177&lt;=0,0,AT178-AX177)+IF(BC177&lt;=0,0,AY178-BC177)</f>
        <v/>
      </c>
      <c r="D178" s="32">
        <f>G178+I178+L178+N178+Q178+S178+V178+X178+AA178+AC178+AF178+AH178+AK178+AM178+AP178+AR178+AU178+AW178+AZ178+BB178</f>
        <v/>
      </c>
      <c r="E178" s="32">
        <f>J178+O178+T178+Y178+AD178+AI178+AN178+AS178+AX178+BC178</f>
        <v/>
      </c>
      <c r="F178" s="33">
        <f>IF(J177&lt;=0,0,ROUND(J177*(1+'Your debts'!$D$6/1200),2))</f>
        <v/>
      </c>
      <c r="G178" s="33">
        <f>IF(F178&lt;=0,0,MIN('Your debts'!$E$6,F178))</f>
        <v/>
      </c>
      <c r="H178" s="33">
        <f>F178-G178</f>
        <v/>
      </c>
      <c r="I178" s="33">
        <f>IF('Your debts'!$F$6="",0,MIN(H178,MAX(0,MAX(0,'Your debts'!$C$19-(G178+L178+Q178+V178+AA178+AF178+AK178+AP178+AU178+AZ178))-(IF(AND('Your debts'!$F$7&lt;&gt;"",'Your debts'!$F$6&lt;&gt;"",'Your debts'!$F$7&lt;'Your debts'!$F$6),M178,0)+IF(AND('Your debts'!$F$8&lt;&gt;"",'Your debts'!$F$6&lt;&gt;"",'Your debts'!$F$8&lt;'Your debts'!$F$6),R178,0)+IF(AND('Your debts'!$F$9&lt;&gt;"",'Your debts'!$F$6&lt;&gt;"",'Your debts'!$F$9&lt;'Your debts'!$F$6),W178,0)+IF(AND('Your debts'!$F$10&lt;&gt;"",'Your debts'!$F$6&lt;&gt;"",'Your debts'!$F$10&lt;'Your debts'!$F$6),AB178,0)+IF(AND('Your debts'!$F$11&lt;&gt;"",'Your debts'!$F$6&lt;&gt;"",'Your debts'!$F$11&lt;'Your debts'!$F$6),AG178,0)+IF(AND('Your debts'!$F$12&lt;&gt;"",'Your debts'!$F$6&lt;&gt;"",'Your debts'!$F$12&lt;'Your debts'!$F$6),AL178,0)+IF(AND('Your debts'!$F$13&lt;&gt;"",'Your debts'!$F$6&lt;&gt;"",'Your debts'!$F$13&lt;'Your debts'!$F$6),AQ178,0)+IF(AND('Your debts'!$F$14&lt;&gt;"",'Your debts'!$F$6&lt;&gt;"",'Your debts'!$F$14&lt;'Your debts'!$F$6),AV178,0)+IF(AND('Your debts'!$F$15&lt;&gt;"",'Your debts'!$F$6&lt;&gt;"",'Your debts'!$F$15&lt;'Your debts'!$F$6),BA178,0)))))</f>
        <v/>
      </c>
      <c r="J178" s="33">
        <f>H178-I178</f>
        <v/>
      </c>
      <c r="K178" s="33">
        <f>IF(O177&lt;=0,0,ROUND(O177*(1+'Your debts'!$D$7/1200),2))</f>
        <v/>
      </c>
      <c r="L178" s="33">
        <f>IF(K178&lt;=0,0,MIN('Your debts'!$E$7,K178))</f>
        <v/>
      </c>
      <c r="M178" s="33">
        <f>K178-L178</f>
        <v/>
      </c>
      <c r="N178" s="33">
        <f>IF('Your debts'!$F$7="",0,MIN(M178,MAX(0,MAX(0,'Your debts'!$C$19-(G178+L178+Q178+V178+AA178+AF178+AK178+AP178+AU178+AZ178))-(IF(AND('Your debts'!$F$6&lt;&gt;"",'Your debts'!$F$7&lt;&gt;"",'Your debts'!$F$6&lt;'Your debts'!$F$7),H178,0)+IF(AND('Your debts'!$F$8&lt;&gt;"",'Your debts'!$F$7&lt;&gt;"",'Your debts'!$F$8&lt;'Your debts'!$F$7),R178,0)+IF(AND('Your debts'!$F$9&lt;&gt;"",'Your debts'!$F$7&lt;&gt;"",'Your debts'!$F$9&lt;'Your debts'!$F$7),W178,0)+IF(AND('Your debts'!$F$10&lt;&gt;"",'Your debts'!$F$7&lt;&gt;"",'Your debts'!$F$10&lt;'Your debts'!$F$7),AB178,0)+IF(AND('Your debts'!$F$11&lt;&gt;"",'Your debts'!$F$7&lt;&gt;"",'Your debts'!$F$11&lt;'Your debts'!$F$7),AG178,0)+IF(AND('Your debts'!$F$12&lt;&gt;"",'Your debts'!$F$7&lt;&gt;"",'Your debts'!$F$12&lt;'Your debts'!$F$7),AL178,0)+IF(AND('Your debts'!$F$13&lt;&gt;"",'Your debts'!$F$7&lt;&gt;"",'Your debts'!$F$13&lt;'Your debts'!$F$7),AQ178,0)+IF(AND('Your debts'!$F$14&lt;&gt;"",'Your debts'!$F$7&lt;&gt;"",'Your debts'!$F$14&lt;'Your debts'!$F$7),AV178,0)+IF(AND('Your debts'!$F$15&lt;&gt;"",'Your debts'!$F$7&lt;&gt;"",'Your debts'!$F$15&lt;'Your debts'!$F$7),BA178,0)))))</f>
        <v/>
      </c>
      <c r="O178" s="33">
        <f>M178-N178</f>
        <v/>
      </c>
      <c r="P178" s="33">
        <f>IF(T177&lt;=0,0,ROUND(T177*(1+'Your debts'!$D$8/1200),2))</f>
        <v/>
      </c>
      <c r="Q178" s="33">
        <f>IF(P178&lt;=0,0,MIN('Your debts'!$E$8,P178))</f>
        <v/>
      </c>
      <c r="R178" s="33">
        <f>P178-Q178</f>
        <v/>
      </c>
      <c r="S178" s="33">
        <f>IF('Your debts'!$F$8="",0,MIN(R178,MAX(0,MAX(0,'Your debts'!$C$19-(G178+L178+Q178+V178+AA178+AF178+AK178+AP178+AU178+AZ178))-(IF(AND('Your debts'!$F$6&lt;&gt;"",'Your debts'!$F$8&lt;&gt;"",'Your debts'!$F$6&lt;'Your debts'!$F$8),H178,0)+IF(AND('Your debts'!$F$7&lt;&gt;"",'Your debts'!$F$8&lt;&gt;"",'Your debts'!$F$7&lt;'Your debts'!$F$8),M178,0)+IF(AND('Your debts'!$F$9&lt;&gt;"",'Your debts'!$F$8&lt;&gt;"",'Your debts'!$F$9&lt;'Your debts'!$F$8),W178,0)+IF(AND('Your debts'!$F$10&lt;&gt;"",'Your debts'!$F$8&lt;&gt;"",'Your debts'!$F$10&lt;'Your debts'!$F$8),AB178,0)+IF(AND('Your debts'!$F$11&lt;&gt;"",'Your debts'!$F$8&lt;&gt;"",'Your debts'!$F$11&lt;'Your debts'!$F$8),AG178,0)+IF(AND('Your debts'!$F$12&lt;&gt;"",'Your debts'!$F$8&lt;&gt;"",'Your debts'!$F$12&lt;'Your debts'!$F$8),AL178,0)+IF(AND('Your debts'!$F$13&lt;&gt;"",'Your debts'!$F$8&lt;&gt;"",'Your debts'!$F$13&lt;'Your debts'!$F$8),AQ178,0)+IF(AND('Your debts'!$F$14&lt;&gt;"",'Your debts'!$F$8&lt;&gt;"",'Your debts'!$F$14&lt;'Your debts'!$F$8),AV178,0)+IF(AND('Your debts'!$F$15&lt;&gt;"",'Your debts'!$F$8&lt;&gt;"",'Your debts'!$F$15&lt;'Your debts'!$F$8),BA178,0)))))</f>
        <v/>
      </c>
      <c r="T178" s="33">
        <f>R178-S178</f>
        <v/>
      </c>
      <c r="U178" s="33">
        <f>IF(Y177&lt;=0,0,ROUND(Y177*(1+'Your debts'!$D$9/1200),2))</f>
        <v/>
      </c>
      <c r="V178" s="33">
        <f>IF(U178&lt;=0,0,MIN('Your debts'!$E$9,U178))</f>
        <v/>
      </c>
      <c r="W178" s="33">
        <f>U178-V178</f>
        <v/>
      </c>
      <c r="X178" s="33">
        <f>IF('Your debts'!$F$9="",0,MIN(W178,MAX(0,MAX(0,'Your debts'!$C$19-(G178+L178+Q178+V178+AA178+AF178+AK178+AP178+AU178+AZ178))-(IF(AND('Your debts'!$F$6&lt;&gt;"",'Your debts'!$F$9&lt;&gt;"",'Your debts'!$F$6&lt;'Your debts'!$F$9),H178,0)+IF(AND('Your debts'!$F$7&lt;&gt;"",'Your debts'!$F$9&lt;&gt;"",'Your debts'!$F$7&lt;'Your debts'!$F$9),M178,0)+IF(AND('Your debts'!$F$8&lt;&gt;"",'Your debts'!$F$9&lt;&gt;"",'Your debts'!$F$8&lt;'Your debts'!$F$9),R178,0)+IF(AND('Your debts'!$F$10&lt;&gt;"",'Your debts'!$F$9&lt;&gt;"",'Your debts'!$F$10&lt;'Your debts'!$F$9),AB178,0)+IF(AND('Your debts'!$F$11&lt;&gt;"",'Your debts'!$F$9&lt;&gt;"",'Your debts'!$F$11&lt;'Your debts'!$F$9),AG178,0)+IF(AND('Your debts'!$F$12&lt;&gt;"",'Your debts'!$F$9&lt;&gt;"",'Your debts'!$F$12&lt;'Your debts'!$F$9),AL178,0)+IF(AND('Your debts'!$F$13&lt;&gt;"",'Your debts'!$F$9&lt;&gt;"",'Your debts'!$F$13&lt;'Your debts'!$F$9),AQ178,0)+IF(AND('Your debts'!$F$14&lt;&gt;"",'Your debts'!$F$9&lt;&gt;"",'Your debts'!$F$14&lt;'Your debts'!$F$9),AV178,0)+IF(AND('Your debts'!$F$15&lt;&gt;"",'Your debts'!$F$9&lt;&gt;"",'Your debts'!$F$15&lt;'Your debts'!$F$9),BA178,0)))))</f>
        <v/>
      </c>
      <c r="Y178" s="33">
        <f>W178-X178</f>
        <v/>
      </c>
      <c r="Z178" s="33">
        <f>IF(AD177&lt;=0,0,ROUND(AD177*(1+'Your debts'!$D$10/1200),2))</f>
        <v/>
      </c>
      <c r="AA178" s="33">
        <f>IF(Z178&lt;=0,0,MIN('Your debts'!$E$10,Z178))</f>
        <v/>
      </c>
      <c r="AB178" s="33">
        <f>Z178-AA178</f>
        <v/>
      </c>
      <c r="AC178" s="33">
        <f>IF('Your debts'!$F$10="",0,MIN(AB178,MAX(0,MAX(0,'Your debts'!$C$19-(G178+L178+Q178+V178+AA178+AF178+AK178+AP178+AU178+AZ178))-(IF(AND('Your debts'!$F$6&lt;&gt;"",'Your debts'!$F$10&lt;&gt;"",'Your debts'!$F$6&lt;'Your debts'!$F$10),H178,0)+IF(AND('Your debts'!$F$7&lt;&gt;"",'Your debts'!$F$10&lt;&gt;"",'Your debts'!$F$7&lt;'Your debts'!$F$10),M178,0)+IF(AND('Your debts'!$F$8&lt;&gt;"",'Your debts'!$F$10&lt;&gt;"",'Your debts'!$F$8&lt;'Your debts'!$F$10),R178,0)+IF(AND('Your debts'!$F$9&lt;&gt;"",'Your debts'!$F$10&lt;&gt;"",'Your debts'!$F$9&lt;'Your debts'!$F$10),W178,0)+IF(AND('Your debts'!$F$11&lt;&gt;"",'Your debts'!$F$10&lt;&gt;"",'Your debts'!$F$11&lt;'Your debts'!$F$10),AG178,0)+IF(AND('Your debts'!$F$12&lt;&gt;"",'Your debts'!$F$10&lt;&gt;"",'Your debts'!$F$12&lt;'Your debts'!$F$10),AL178,0)+IF(AND('Your debts'!$F$13&lt;&gt;"",'Your debts'!$F$10&lt;&gt;"",'Your debts'!$F$13&lt;'Your debts'!$F$10),AQ178,0)+IF(AND('Your debts'!$F$14&lt;&gt;"",'Your debts'!$F$10&lt;&gt;"",'Your debts'!$F$14&lt;'Your debts'!$F$10),AV178,0)+IF(AND('Your debts'!$F$15&lt;&gt;"",'Your debts'!$F$10&lt;&gt;"",'Your debts'!$F$15&lt;'Your debts'!$F$10),BA178,0)))))</f>
        <v/>
      </c>
      <c r="AD178" s="33">
        <f>AB178-AC178</f>
        <v/>
      </c>
      <c r="AE178" s="33">
        <f>IF(AI177&lt;=0,0,ROUND(AI177*(1+'Your debts'!$D$11/1200),2))</f>
        <v/>
      </c>
      <c r="AF178" s="33">
        <f>IF(AE178&lt;=0,0,MIN('Your debts'!$E$11,AE178))</f>
        <v/>
      </c>
      <c r="AG178" s="33">
        <f>AE178-AF178</f>
        <v/>
      </c>
      <c r="AH178" s="33">
        <f>IF('Your debts'!$F$11="",0,MIN(AG178,MAX(0,MAX(0,'Your debts'!$C$19-(G178+L178+Q178+V178+AA178+AF178+AK178+AP178+AU178+AZ178))-(IF(AND('Your debts'!$F$6&lt;&gt;"",'Your debts'!$F$11&lt;&gt;"",'Your debts'!$F$6&lt;'Your debts'!$F$11),H178,0)+IF(AND('Your debts'!$F$7&lt;&gt;"",'Your debts'!$F$11&lt;&gt;"",'Your debts'!$F$7&lt;'Your debts'!$F$11),M178,0)+IF(AND('Your debts'!$F$8&lt;&gt;"",'Your debts'!$F$11&lt;&gt;"",'Your debts'!$F$8&lt;'Your debts'!$F$11),R178,0)+IF(AND('Your debts'!$F$9&lt;&gt;"",'Your debts'!$F$11&lt;&gt;"",'Your debts'!$F$9&lt;'Your debts'!$F$11),W178,0)+IF(AND('Your debts'!$F$10&lt;&gt;"",'Your debts'!$F$11&lt;&gt;"",'Your debts'!$F$10&lt;'Your debts'!$F$11),AB178,0)+IF(AND('Your debts'!$F$12&lt;&gt;"",'Your debts'!$F$11&lt;&gt;"",'Your debts'!$F$12&lt;'Your debts'!$F$11),AL178,0)+IF(AND('Your debts'!$F$13&lt;&gt;"",'Your debts'!$F$11&lt;&gt;"",'Your debts'!$F$13&lt;'Your debts'!$F$11),AQ178,0)+IF(AND('Your debts'!$F$14&lt;&gt;"",'Your debts'!$F$11&lt;&gt;"",'Your debts'!$F$14&lt;'Your debts'!$F$11),AV178,0)+IF(AND('Your debts'!$F$15&lt;&gt;"",'Your debts'!$F$11&lt;&gt;"",'Your debts'!$F$15&lt;'Your debts'!$F$11),BA178,0)))))</f>
        <v/>
      </c>
      <c r="AI178" s="33">
        <f>AG178-AH178</f>
        <v/>
      </c>
      <c r="AJ178" s="33">
        <f>IF(AN177&lt;=0,0,ROUND(AN177*(1+'Your debts'!$D$12/1200),2))</f>
        <v/>
      </c>
      <c r="AK178" s="33">
        <f>IF(AJ178&lt;=0,0,MIN('Your debts'!$E$12,AJ178))</f>
        <v/>
      </c>
      <c r="AL178" s="33">
        <f>AJ178-AK178</f>
        <v/>
      </c>
      <c r="AM178" s="33">
        <f>IF('Your debts'!$F$12="",0,MIN(AL178,MAX(0,MAX(0,'Your debts'!$C$19-(G178+L178+Q178+V178+AA178+AF178+AK178+AP178+AU178+AZ178))-(IF(AND('Your debts'!$F$6&lt;&gt;"",'Your debts'!$F$12&lt;&gt;"",'Your debts'!$F$6&lt;'Your debts'!$F$12),H178,0)+IF(AND('Your debts'!$F$7&lt;&gt;"",'Your debts'!$F$12&lt;&gt;"",'Your debts'!$F$7&lt;'Your debts'!$F$12),M178,0)+IF(AND('Your debts'!$F$8&lt;&gt;"",'Your debts'!$F$12&lt;&gt;"",'Your debts'!$F$8&lt;'Your debts'!$F$12),R178,0)+IF(AND('Your debts'!$F$9&lt;&gt;"",'Your debts'!$F$12&lt;&gt;"",'Your debts'!$F$9&lt;'Your debts'!$F$12),W178,0)+IF(AND('Your debts'!$F$10&lt;&gt;"",'Your debts'!$F$12&lt;&gt;"",'Your debts'!$F$10&lt;'Your debts'!$F$12),AB178,0)+IF(AND('Your debts'!$F$11&lt;&gt;"",'Your debts'!$F$12&lt;&gt;"",'Your debts'!$F$11&lt;'Your debts'!$F$12),AG178,0)+IF(AND('Your debts'!$F$13&lt;&gt;"",'Your debts'!$F$12&lt;&gt;"",'Your debts'!$F$13&lt;'Your debts'!$F$12),AQ178,0)+IF(AND('Your debts'!$F$14&lt;&gt;"",'Your debts'!$F$12&lt;&gt;"",'Your debts'!$F$14&lt;'Your debts'!$F$12),AV178,0)+IF(AND('Your debts'!$F$15&lt;&gt;"",'Your debts'!$F$12&lt;&gt;"",'Your debts'!$F$15&lt;'Your debts'!$F$12),BA178,0)))))</f>
        <v/>
      </c>
      <c r="AN178" s="33">
        <f>AL178-AM178</f>
        <v/>
      </c>
      <c r="AO178" s="33">
        <f>IF(AS177&lt;=0,0,ROUND(AS177*(1+'Your debts'!$D$13/1200),2))</f>
        <v/>
      </c>
      <c r="AP178" s="33">
        <f>IF(AO178&lt;=0,0,MIN('Your debts'!$E$13,AO178))</f>
        <v/>
      </c>
      <c r="AQ178" s="33">
        <f>AO178-AP178</f>
        <v/>
      </c>
      <c r="AR178" s="33">
        <f>IF('Your debts'!$F$13="",0,MIN(AQ178,MAX(0,MAX(0,'Your debts'!$C$19-(G178+L178+Q178+V178+AA178+AF178+AK178+AP178+AU178+AZ178))-(IF(AND('Your debts'!$F$6&lt;&gt;"",'Your debts'!$F$13&lt;&gt;"",'Your debts'!$F$6&lt;'Your debts'!$F$13),H178,0)+IF(AND('Your debts'!$F$7&lt;&gt;"",'Your debts'!$F$13&lt;&gt;"",'Your debts'!$F$7&lt;'Your debts'!$F$13),M178,0)+IF(AND('Your debts'!$F$8&lt;&gt;"",'Your debts'!$F$13&lt;&gt;"",'Your debts'!$F$8&lt;'Your debts'!$F$13),R178,0)+IF(AND('Your debts'!$F$9&lt;&gt;"",'Your debts'!$F$13&lt;&gt;"",'Your debts'!$F$9&lt;'Your debts'!$F$13),W178,0)+IF(AND('Your debts'!$F$10&lt;&gt;"",'Your debts'!$F$13&lt;&gt;"",'Your debts'!$F$10&lt;'Your debts'!$F$13),AB178,0)+IF(AND('Your debts'!$F$11&lt;&gt;"",'Your debts'!$F$13&lt;&gt;"",'Your debts'!$F$11&lt;'Your debts'!$F$13),AG178,0)+IF(AND('Your debts'!$F$12&lt;&gt;"",'Your debts'!$F$13&lt;&gt;"",'Your debts'!$F$12&lt;'Your debts'!$F$13),AL178,0)+IF(AND('Your debts'!$F$14&lt;&gt;"",'Your debts'!$F$13&lt;&gt;"",'Your debts'!$F$14&lt;'Your debts'!$F$13),AV178,0)+IF(AND('Your debts'!$F$15&lt;&gt;"",'Your debts'!$F$13&lt;&gt;"",'Your debts'!$F$15&lt;'Your debts'!$F$13),BA178,0)))))</f>
        <v/>
      </c>
      <c r="AS178" s="33">
        <f>AQ178-AR178</f>
        <v/>
      </c>
      <c r="AT178" s="33">
        <f>IF(AX177&lt;=0,0,ROUND(AX177*(1+'Your debts'!$D$14/1200),2))</f>
        <v/>
      </c>
      <c r="AU178" s="33">
        <f>IF(AT178&lt;=0,0,MIN('Your debts'!$E$14,AT178))</f>
        <v/>
      </c>
      <c r="AV178" s="33">
        <f>AT178-AU178</f>
        <v/>
      </c>
      <c r="AW178" s="33">
        <f>IF('Your debts'!$F$14="",0,MIN(AV178,MAX(0,MAX(0,'Your debts'!$C$19-(G178+L178+Q178+V178+AA178+AF178+AK178+AP178+AU178+AZ178))-(IF(AND('Your debts'!$F$6&lt;&gt;"",'Your debts'!$F$14&lt;&gt;"",'Your debts'!$F$6&lt;'Your debts'!$F$14),H178,0)+IF(AND('Your debts'!$F$7&lt;&gt;"",'Your debts'!$F$14&lt;&gt;"",'Your debts'!$F$7&lt;'Your debts'!$F$14),M178,0)+IF(AND('Your debts'!$F$8&lt;&gt;"",'Your debts'!$F$14&lt;&gt;"",'Your debts'!$F$8&lt;'Your debts'!$F$14),R178,0)+IF(AND('Your debts'!$F$9&lt;&gt;"",'Your debts'!$F$14&lt;&gt;"",'Your debts'!$F$9&lt;'Your debts'!$F$14),W178,0)+IF(AND('Your debts'!$F$10&lt;&gt;"",'Your debts'!$F$14&lt;&gt;"",'Your debts'!$F$10&lt;'Your debts'!$F$14),AB178,0)+IF(AND('Your debts'!$F$11&lt;&gt;"",'Your debts'!$F$14&lt;&gt;"",'Your debts'!$F$11&lt;'Your debts'!$F$14),AG178,0)+IF(AND('Your debts'!$F$12&lt;&gt;"",'Your debts'!$F$14&lt;&gt;"",'Your debts'!$F$12&lt;'Your debts'!$F$14),AL178,0)+IF(AND('Your debts'!$F$13&lt;&gt;"",'Your debts'!$F$14&lt;&gt;"",'Your debts'!$F$13&lt;'Your debts'!$F$14),AQ178,0)+IF(AND('Your debts'!$F$15&lt;&gt;"",'Your debts'!$F$14&lt;&gt;"",'Your debts'!$F$15&lt;'Your debts'!$F$14),BA178,0)))))</f>
        <v/>
      </c>
      <c r="AX178" s="33">
        <f>AV178-AW178</f>
        <v/>
      </c>
      <c r="AY178" s="33">
        <f>IF(BC177&lt;=0,0,ROUND(BC177*(1+'Your debts'!$D$15/1200),2))</f>
        <v/>
      </c>
      <c r="AZ178" s="33">
        <f>IF(AY178&lt;=0,0,MIN('Your debts'!$E$15,AY178))</f>
        <v/>
      </c>
      <c r="BA178" s="33">
        <f>AY178-AZ178</f>
        <v/>
      </c>
      <c r="BB178" s="33">
        <f>IF('Your debts'!$F$15="",0,MIN(BA178,MAX(0,MAX(0,'Your debts'!$C$19-(G178+L178+Q178+V178+AA178+AF178+AK178+AP178+AU178+AZ178))-(IF(AND('Your debts'!$F$6&lt;&gt;"",'Your debts'!$F$15&lt;&gt;"",'Your debts'!$F$6&lt;'Your debts'!$F$15),H178,0)+IF(AND('Your debts'!$F$7&lt;&gt;"",'Your debts'!$F$15&lt;&gt;"",'Your debts'!$F$7&lt;'Your debts'!$F$15),M178,0)+IF(AND('Your debts'!$F$8&lt;&gt;"",'Your debts'!$F$15&lt;&gt;"",'Your debts'!$F$8&lt;'Your debts'!$F$15),R178,0)+IF(AND('Your debts'!$F$9&lt;&gt;"",'Your debts'!$F$15&lt;&gt;"",'Your debts'!$F$9&lt;'Your debts'!$F$15),W178,0)+IF(AND('Your debts'!$F$10&lt;&gt;"",'Your debts'!$F$15&lt;&gt;"",'Your debts'!$F$10&lt;'Your debts'!$F$15),AB178,0)+IF(AND('Your debts'!$F$11&lt;&gt;"",'Your debts'!$F$15&lt;&gt;"",'Your debts'!$F$11&lt;'Your debts'!$F$15),AG178,0)+IF(AND('Your debts'!$F$12&lt;&gt;"",'Your debts'!$F$15&lt;&gt;"",'Your debts'!$F$12&lt;'Your debts'!$F$15),AL178,0)+IF(AND('Your debts'!$F$13&lt;&gt;"",'Your debts'!$F$15&lt;&gt;"",'Your debts'!$F$13&lt;'Your debts'!$F$15),AQ178,0)+IF(AND('Your debts'!$F$14&lt;&gt;"",'Your debts'!$F$15&lt;&gt;"",'Your debts'!$F$14&lt;'Your debts'!$F$15),AV178,0)))))</f>
        <v/>
      </c>
      <c r="BC178" s="33">
        <f>BA178-BB178</f>
        <v/>
      </c>
    </row>
    <row r="179">
      <c r="A179" s="30" t="n">
        <v>164</v>
      </c>
      <c r="B179" s="31">
        <f>EDATE($B$15,164)</f>
        <v/>
      </c>
      <c r="C179" s="32">
        <f>IF(J178&lt;=0,0,F179-J178)+IF(O178&lt;=0,0,K179-O178)+IF(T178&lt;=0,0,P179-T178)+IF(Y178&lt;=0,0,U179-Y178)+IF(AD178&lt;=0,0,Z179-AD178)+IF(AI178&lt;=0,0,AE179-AI178)+IF(AN178&lt;=0,0,AJ179-AN178)+IF(AS178&lt;=0,0,AO179-AS178)+IF(AX178&lt;=0,0,AT179-AX178)+IF(BC178&lt;=0,0,AY179-BC178)</f>
        <v/>
      </c>
      <c r="D179" s="32">
        <f>G179+I179+L179+N179+Q179+S179+V179+X179+AA179+AC179+AF179+AH179+AK179+AM179+AP179+AR179+AU179+AW179+AZ179+BB179</f>
        <v/>
      </c>
      <c r="E179" s="32">
        <f>J179+O179+T179+Y179+AD179+AI179+AN179+AS179+AX179+BC179</f>
        <v/>
      </c>
      <c r="F179" s="33">
        <f>IF(J178&lt;=0,0,ROUND(J178*(1+'Your debts'!$D$6/1200),2))</f>
        <v/>
      </c>
      <c r="G179" s="33">
        <f>IF(F179&lt;=0,0,MIN('Your debts'!$E$6,F179))</f>
        <v/>
      </c>
      <c r="H179" s="33">
        <f>F179-G179</f>
        <v/>
      </c>
      <c r="I179" s="33">
        <f>IF('Your debts'!$F$6="",0,MIN(H179,MAX(0,MAX(0,'Your debts'!$C$19-(G179+L179+Q179+V179+AA179+AF179+AK179+AP179+AU179+AZ179))-(IF(AND('Your debts'!$F$7&lt;&gt;"",'Your debts'!$F$6&lt;&gt;"",'Your debts'!$F$7&lt;'Your debts'!$F$6),M179,0)+IF(AND('Your debts'!$F$8&lt;&gt;"",'Your debts'!$F$6&lt;&gt;"",'Your debts'!$F$8&lt;'Your debts'!$F$6),R179,0)+IF(AND('Your debts'!$F$9&lt;&gt;"",'Your debts'!$F$6&lt;&gt;"",'Your debts'!$F$9&lt;'Your debts'!$F$6),W179,0)+IF(AND('Your debts'!$F$10&lt;&gt;"",'Your debts'!$F$6&lt;&gt;"",'Your debts'!$F$10&lt;'Your debts'!$F$6),AB179,0)+IF(AND('Your debts'!$F$11&lt;&gt;"",'Your debts'!$F$6&lt;&gt;"",'Your debts'!$F$11&lt;'Your debts'!$F$6),AG179,0)+IF(AND('Your debts'!$F$12&lt;&gt;"",'Your debts'!$F$6&lt;&gt;"",'Your debts'!$F$12&lt;'Your debts'!$F$6),AL179,0)+IF(AND('Your debts'!$F$13&lt;&gt;"",'Your debts'!$F$6&lt;&gt;"",'Your debts'!$F$13&lt;'Your debts'!$F$6),AQ179,0)+IF(AND('Your debts'!$F$14&lt;&gt;"",'Your debts'!$F$6&lt;&gt;"",'Your debts'!$F$14&lt;'Your debts'!$F$6),AV179,0)+IF(AND('Your debts'!$F$15&lt;&gt;"",'Your debts'!$F$6&lt;&gt;"",'Your debts'!$F$15&lt;'Your debts'!$F$6),BA179,0)))))</f>
        <v/>
      </c>
      <c r="J179" s="33">
        <f>H179-I179</f>
        <v/>
      </c>
      <c r="K179" s="33">
        <f>IF(O178&lt;=0,0,ROUND(O178*(1+'Your debts'!$D$7/1200),2))</f>
        <v/>
      </c>
      <c r="L179" s="33">
        <f>IF(K179&lt;=0,0,MIN('Your debts'!$E$7,K179))</f>
        <v/>
      </c>
      <c r="M179" s="33">
        <f>K179-L179</f>
        <v/>
      </c>
      <c r="N179" s="33">
        <f>IF('Your debts'!$F$7="",0,MIN(M179,MAX(0,MAX(0,'Your debts'!$C$19-(G179+L179+Q179+V179+AA179+AF179+AK179+AP179+AU179+AZ179))-(IF(AND('Your debts'!$F$6&lt;&gt;"",'Your debts'!$F$7&lt;&gt;"",'Your debts'!$F$6&lt;'Your debts'!$F$7),H179,0)+IF(AND('Your debts'!$F$8&lt;&gt;"",'Your debts'!$F$7&lt;&gt;"",'Your debts'!$F$8&lt;'Your debts'!$F$7),R179,0)+IF(AND('Your debts'!$F$9&lt;&gt;"",'Your debts'!$F$7&lt;&gt;"",'Your debts'!$F$9&lt;'Your debts'!$F$7),W179,0)+IF(AND('Your debts'!$F$10&lt;&gt;"",'Your debts'!$F$7&lt;&gt;"",'Your debts'!$F$10&lt;'Your debts'!$F$7),AB179,0)+IF(AND('Your debts'!$F$11&lt;&gt;"",'Your debts'!$F$7&lt;&gt;"",'Your debts'!$F$11&lt;'Your debts'!$F$7),AG179,0)+IF(AND('Your debts'!$F$12&lt;&gt;"",'Your debts'!$F$7&lt;&gt;"",'Your debts'!$F$12&lt;'Your debts'!$F$7),AL179,0)+IF(AND('Your debts'!$F$13&lt;&gt;"",'Your debts'!$F$7&lt;&gt;"",'Your debts'!$F$13&lt;'Your debts'!$F$7),AQ179,0)+IF(AND('Your debts'!$F$14&lt;&gt;"",'Your debts'!$F$7&lt;&gt;"",'Your debts'!$F$14&lt;'Your debts'!$F$7),AV179,0)+IF(AND('Your debts'!$F$15&lt;&gt;"",'Your debts'!$F$7&lt;&gt;"",'Your debts'!$F$15&lt;'Your debts'!$F$7),BA179,0)))))</f>
        <v/>
      </c>
      <c r="O179" s="33">
        <f>M179-N179</f>
        <v/>
      </c>
      <c r="P179" s="33">
        <f>IF(T178&lt;=0,0,ROUND(T178*(1+'Your debts'!$D$8/1200),2))</f>
        <v/>
      </c>
      <c r="Q179" s="33">
        <f>IF(P179&lt;=0,0,MIN('Your debts'!$E$8,P179))</f>
        <v/>
      </c>
      <c r="R179" s="33">
        <f>P179-Q179</f>
        <v/>
      </c>
      <c r="S179" s="33">
        <f>IF('Your debts'!$F$8="",0,MIN(R179,MAX(0,MAX(0,'Your debts'!$C$19-(G179+L179+Q179+V179+AA179+AF179+AK179+AP179+AU179+AZ179))-(IF(AND('Your debts'!$F$6&lt;&gt;"",'Your debts'!$F$8&lt;&gt;"",'Your debts'!$F$6&lt;'Your debts'!$F$8),H179,0)+IF(AND('Your debts'!$F$7&lt;&gt;"",'Your debts'!$F$8&lt;&gt;"",'Your debts'!$F$7&lt;'Your debts'!$F$8),M179,0)+IF(AND('Your debts'!$F$9&lt;&gt;"",'Your debts'!$F$8&lt;&gt;"",'Your debts'!$F$9&lt;'Your debts'!$F$8),W179,0)+IF(AND('Your debts'!$F$10&lt;&gt;"",'Your debts'!$F$8&lt;&gt;"",'Your debts'!$F$10&lt;'Your debts'!$F$8),AB179,0)+IF(AND('Your debts'!$F$11&lt;&gt;"",'Your debts'!$F$8&lt;&gt;"",'Your debts'!$F$11&lt;'Your debts'!$F$8),AG179,0)+IF(AND('Your debts'!$F$12&lt;&gt;"",'Your debts'!$F$8&lt;&gt;"",'Your debts'!$F$12&lt;'Your debts'!$F$8),AL179,0)+IF(AND('Your debts'!$F$13&lt;&gt;"",'Your debts'!$F$8&lt;&gt;"",'Your debts'!$F$13&lt;'Your debts'!$F$8),AQ179,0)+IF(AND('Your debts'!$F$14&lt;&gt;"",'Your debts'!$F$8&lt;&gt;"",'Your debts'!$F$14&lt;'Your debts'!$F$8),AV179,0)+IF(AND('Your debts'!$F$15&lt;&gt;"",'Your debts'!$F$8&lt;&gt;"",'Your debts'!$F$15&lt;'Your debts'!$F$8),BA179,0)))))</f>
        <v/>
      </c>
      <c r="T179" s="33">
        <f>R179-S179</f>
        <v/>
      </c>
      <c r="U179" s="33">
        <f>IF(Y178&lt;=0,0,ROUND(Y178*(1+'Your debts'!$D$9/1200),2))</f>
        <v/>
      </c>
      <c r="V179" s="33">
        <f>IF(U179&lt;=0,0,MIN('Your debts'!$E$9,U179))</f>
        <v/>
      </c>
      <c r="W179" s="33">
        <f>U179-V179</f>
        <v/>
      </c>
      <c r="X179" s="33">
        <f>IF('Your debts'!$F$9="",0,MIN(W179,MAX(0,MAX(0,'Your debts'!$C$19-(G179+L179+Q179+V179+AA179+AF179+AK179+AP179+AU179+AZ179))-(IF(AND('Your debts'!$F$6&lt;&gt;"",'Your debts'!$F$9&lt;&gt;"",'Your debts'!$F$6&lt;'Your debts'!$F$9),H179,0)+IF(AND('Your debts'!$F$7&lt;&gt;"",'Your debts'!$F$9&lt;&gt;"",'Your debts'!$F$7&lt;'Your debts'!$F$9),M179,0)+IF(AND('Your debts'!$F$8&lt;&gt;"",'Your debts'!$F$9&lt;&gt;"",'Your debts'!$F$8&lt;'Your debts'!$F$9),R179,0)+IF(AND('Your debts'!$F$10&lt;&gt;"",'Your debts'!$F$9&lt;&gt;"",'Your debts'!$F$10&lt;'Your debts'!$F$9),AB179,0)+IF(AND('Your debts'!$F$11&lt;&gt;"",'Your debts'!$F$9&lt;&gt;"",'Your debts'!$F$11&lt;'Your debts'!$F$9),AG179,0)+IF(AND('Your debts'!$F$12&lt;&gt;"",'Your debts'!$F$9&lt;&gt;"",'Your debts'!$F$12&lt;'Your debts'!$F$9),AL179,0)+IF(AND('Your debts'!$F$13&lt;&gt;"",'Your debts'!$F$9&lt;&gt;"",'Your debts'!$F$13&lt;'Your debts'!$F$9),AQ179,0)+IF(AND('Your debts'!$F$14&lt;&gt;"",'Your debts'!$F$9&lt;&gt;"",'Your debts'!$F$14&lt;'Your debts'!$F$9),AV179,0)+IF(AND('Your debts'!$F$15&lt;&gt;"",'Your debts'!$F$9&lt;&gt;"",'Your debts'!$F$15&lt;'Your debts'!$F$9),BA179,0)))))</f>
        <v/>
      </c>
      <c r="Y179" s="33">
        <f>W179-X179</f>
        <v/>
      </c>
      <c r="Z179" s="33">
        <f>IF(AD178&lt;=0,0,ROUND(AD178*(1+'Your debts'!$D$10/1200),2))</f>
        <v/>
      </c>
      <c r="AA179" s="33">
        <f>IF(Z179&lt;=0,0,MIN('Your debts'!$E$10,Z179))</f>
        <v/>
      </c>
      <c r="AB179" s="33">
        <f>Z179-AA179</f>
        <v/>
      </c>
      <c r="AC179" s="33">
        <f>IF('Your debts'!$F$10="",0,MIN(AB179,MAX(0,MAX(0,'Your debts'!$C$19-(G179+L179+Q179+V179+AA179+AF179+AK179+AP179+AU179+AZ179))-(IF(AND('Your debts'!$F$6&lt;&gt;"",'Your debts'!$F$10&lt;&gt;"",'Your debts'!$F$6&lt;'Your debts'!$F$10),H179,0)+IF(AND('Your debts'!$F$7&lt;&gt;"",'Your debts'!$F$10&lt;&gt;"",'Your debts'!$F$7&lt;'Your debts'!$F$10),M179,0)+IF(AND('Your debts'!$F$8&lt;&gt;"",'Your debts'!$F$10&lt;&gt;"",'Your debts'!$F$8&lt;'Your debts'!$F$10),R179,0)+IF(AND('Your debts'!$F$9&lt;&gt;"",'Your debts'!$F$10&lt;&gt;"",'Your debts'!$F$9&lt;'Your debts'!$F$10),W179,0)+IF(AND('Your debts'!$F$11&lt;&gt;"",'Your debts'!$F$10&lt;&gt;"",'Your debts'!$F$11&lt;'Your debts'!$F$10),AG179,0)+IF(AND('Your debts'!$F$12&lt;&gt;"",'Your debts'!$F$10&lt;&gt;"",'Your debts'!$F$12&lt;'Your debts'!$F$10),AL179,0)+IF(AND('Your debts'!$F$13&lt;&gt;"",'Your debts'!$F$10&lt;&gt;"",'Your debts'!$F$13&lt;'Your debts'!$F$10),AQ179,0)+IF(AND('Your debts'!$F$14&lt;&gt;"",'Your debts'!$F$10&lt;&gt;"",'Your debts'!$F$14&lt;'Your debts'!$F$10),AV179,0)+IF(AND('Your debts'!$F$15&lt;&gt;"",'Your debts'!$F$10&lt;&gt;"",'Your debts'!$F$15&lt;'Your debts'!$F$10),BA179,0)))))</f>
        <v/>
      </c>
      <c r="AD179" s="33">
        <f>AB179-AC179</f>
        <v/>
      </c>
      <c r="AE179" s="33">
        <f>IF(AI178&lt;=0,0,ROUND(AI178*(1+'Your debts'!$D$11/1200),2))</f>
        <v/>
      </c>
      <c r="AF179" s="33">
        <f>IF(AE179&lt;=0,0,MIN('Your debts'!$E$11,AE179))</f>
        <v/>
      </c>
      <c r="AG179" s="33">
        <f>AE179-AF179</f>
        <v/>
      </c>
      <c r="AH179" s="33">
        <f>IF('Your debts'!$F$11="",0,MIN(AG179,MAX(0,MAX(0,'Your debts'!$C$19-(G179+L179+Q179+V179+AA179+AF179+AK179+AP179+AU179+AZ179))-(IF(AND('Your debts'!$F$6&lt;&gt;"",'Your debts'!$F$11&lt;&gt;"",'Your debts'!$F$6&lt;'Your debts'!$F$11),H179,0)+IF(AND('Your debts'!$F$7&lt;&gt;"",'Your debts'!$F$11&lt;&gt;"",'Your debts'!$F$7&lt;'Your debts'!$F$11),M179,0)+IF(AND('Your debts'!$F$8&lt;&gt;"",'Your debts'!$F$11&lt;&gt;"",'Your debts'!$F$8&lt;'Your debts'!$F$11),R179,0)+IF(AND('Your debts'!$F$9&lt;&gt;"",'Your debts'!$F$11&lt;&gt;"",'Your debts'!$F$9&lt;'Your debts'!$F$11),W179,0)+IF(AND('Your debts'!$F$10&lt;&gt;"",'Your debts'!$F$11&lt;&gt;"",'Your debts'!$F$10&lt;'Your debts'!$F$11),AB179,0)+IF(AND('Your debts'!$F$12&lt;&gt;"",'Your debts'!$F$11&lt;&gt;"",'Your debts'!$F$12&lt;'Your debts'!$F$11),AL179,0)+IF(AND('Your debts'!$F$13&lt;&gt;"",'Your debts'!$F$11&lt;&gt;"",'Your debts'!$F$13&lt;'Your debts'!$F$11),AQ179,0)+IF(AND('Your debts'!$F$14&lt;&gt;"",'Your debts'!$F$11&lt;&gt;"",'Your debts'!$F$14&lt;'Your debts'!$F$11),AV179,0)+IF(AND('Your debts'!$F$15&lt;&gt;"",'Your debts'!$F$11&lt;&gt;"",'Your debts'!$F$15&lt;'Your debts'!$F$11),BA179,0)))))</f>
        <v/>
      </c>
      <c r="AI179" s="33">
        <f>AG179-AH179</f>
        <v/>
      </c>
      <c r="AJ179" s="33">
        <f>IF(AN178&lt;=0,0,ROUND(AN178*(1+'Your debts'!$D$12/1200),2))</f>
        <v/>
      </c>
      <c r="AK179" s="33">
        <f>IF(AJ179&lt;=0,0,MIN('Your debts'!$E$12,AJ179))</f>
        <v/>
      </c>
      <c r="AL179" s="33">
        <f>AJ179-AK179</f>
        <v/>
      </c>
      <c r="AM179" s="33">
        <f>IF('Your debts'!$F$12="",0,MIN(AL179,MAX(0,MAX(0,'Your debts'!$C$19-(G179+L179+Q179+V179+AA179+AF179+AK179+AP179+AU179+AZ179))-(IF(AND('Your debts'!$F$6&lt;&gt;"",'Your debts'!$F$12&lt;&gt;"",'Your debts'!$F$6&lt;'Your debts'!$F$12),H179,0)+IF(AND('Your debts'!$F$7&lt;&gt;"",'Your debts'!$F$12&lt;&gt;"",'Your debts'!$F$7&lt;'Your debts'!$F$12),M179,0)+IF(AND('Your debts'!$F$8&lt;&gt;"",'Your debts'!$F$12&lt;&gt;"",'Your debts'!$F$8&lt;'Your debts'!$F$12),R179,0)+IF(AND('Your debts'!$F$9&lt;&gt;"",'Your debts'!$F$12&lt;&gt;"",'Your debts'!$F$9&lt;'Your debts'!$F$12),W179,0)+IF(AND('Your debts'!$F$10&lt;&gt;"",'Your debts'!$F$12&lt;&gt;"",'Your debts'!$F$10&lt;'Your debts'!$F$12),AB179,0)+IF(AND('Your debts'!$F$11&lt;&gt;"",'Your debts'!$F$12&lt;&gt;"",'Your debts'!$F$11&lt;'Your debts'!$F$12),AG179,0)+IF(AND('Your debts'!$F$13&lt;&gt;"",'Your debts'!$F$12&lt;&gt;"",'Your debts'!$F$13&lt;'Your debts'!$F$12),AQ179,0)+IF(AND('Your debts'!$F$14&lt;&gt;"",'Your debts'!$F$12&lt;&gt;"",'Your debts'!$F$14&lt;'Your debts'!$F$12),AV179,0)+IF(AND('Your debts'!$F$15&lt;&gt;"",'Your debts'!$F$12&lt;&gt;"",'Your debts'!$F$15&lt;'Your debts'!$F$12),BA179,0)))))</f>
        <v/>
      </c>
      <c r="AN179" s="33">
        <f>AL179-AM179</f>
        <v/>
      </c>
      <c r="AO179" s="33">
        <f>IF(AS178&lt;=0,0,ROUND(AS178*(1+'Your debts'!$D$13/1200),2))</f>
        <v/>
      </c>
      <c r="AP179" s="33">
        <f>IF(AO179&lt;=0,0,MIN('Your debts'!$E$13,AO179))</f>
        <v/>
      </c>
      <c r="AQ179" s="33">
        <f>AO179-AP179</f>
        <v/>
      </c>
      <c r="AR179" s="33">
        <f>IF('Your debts'!$F$13="",0,MIN(AQ179,MAX(0,MAX(0,'Your debts'!$C$19-(G179+L179+Q179+V179+AA179+AF179+AK179+AP179+AU179+AZ179))-(IF(AND('Your debts'!$F$6&lt;&gt;"",'Your debts'!$F$13&lt;&gt;"",'Your debts'!$F$6&lt;'Your debts'!$F$13),H179,0)+IF(AND('Your debts'!$F$7&lt;&gt;"",'Your debts'!$F$13&lt;&gt;"",'Your debts'!$F$7&lt;'Your debts'!$F$13),M179,0)+IF(AND('Your debts'!$F$8&lt;&gt;"",'Your debts'!$F$13&lt;&gt;"",'Your debts'!$F$8&lt;'Your debts'!$F$13),R179,0)+IF(AND('Your debts'!$F$9&lt;&gt;"",'Your debts'!$F$13&lt;&gt;"",'Your debts'!$F$9&lt;'Your debts'!$F$13),W179,0)+IF(AND('Your debts'!$F$10&lt;&gt;"",'Your debts'!$F$13&lt;&gt;"",'Your debts'!$F$10&lt;'Your debts'!$F$13),AB179,0)+IF(AND('Your debts'!$F$11&lt;&gt;"",'Your debts'!$F$13&lt;&gt;"",'Your debts'!$F$11&lt;'Your debts'!$F$13),AG179,0)+IF(AND('Your debts'!$F$12&lt;&gt;"",'Your debts'!$F$13&lt;&gt;"",'Your debts'!$F$12&lt;'Your debts'!$F$13),AL179,0)+IF(AND('Your debts'!$F$14&lt;&gt;"",'Your debts'!$F$13&lt;&gt;"",'Your debts'!$F$14&lt;'Your debts'!$F$13),AV179,0)+IF(AND('Your debts'!$F$15&lt;&gt;"",'Your debts'!$F$13&lt;&gt;"",'Your debts'!$F$15&lt;'Your debts'!$F$13),BA179,0)))))</f>
        <v/>
      </c>
      <c r="AS179" s="33">
        <f>AQ179-AR179</f>
        <v/>
      </c>
      <c r="AT179" s="33">
        <f>IF(AX178&lt;=0,0,ROUND(AX178*(1+'Your debts'!$D$14/1200),2))</f>
        <v/>
      </c>
      <c r="AU179" s="33">
        <f>IF(AT179&lt;=0,0,MIN('Your debts'!$E$14,AT179))</f>
        <v/>
      </c>
      <c r="AV179" s="33">
        <f>AT179-AU179</f>
        <v/>
      </c>
      <c r="AW179" s="33">
        <f>IF('Your debts'!$F$14="",0,MIN(AV179,MAX(0,MAX(0,'Your debts'!$C$19-(G179+L179+Q179+V179+AA179+AF179+AK179+AP179+AU179+AZ179))-(IF(AND('Your debts'!$F$6&lt;&gt;"",'Your debts'!$F$14&lt;&gt;"",'Your debts'!$F$6&lt;'Your debts'!$F$14),H179,0)+IF(AND('Your debts'!$F$7&lt;&gt;"",'Your debts'!$F$14&lt;&gt;"",'Your debts'!$F$7&lt;'Your debts'!$F$14),M179,0)+IF(AND('Your debts'!$F$8&lt;&gt;"",'Your debts'!$F$14&lt;&gt;"",'Your debts'!$F$8&lt;'Your debts'!$F$14),R179,0)+IF(AND('Your debts'!$F$9&lt;&gt;"",'Your debts'!$F$14&lt;&gt;"",'Your debts'!$F$9&lt;'Your debts'!$F$14),W179,0)+IF(AND('Your debts'!$F$10&lt;&gt;"",'Your debts'!$F$14&lt;&gt;"",'Your debts'!$F$10&lt;'Your debts'!$F$14),AB179,0)+IF(AND('Your debts'!$F$11&lt;&gt;"",'Your debts'!$F$14&lt;&gt;"",'Your debts'!$F$11&lt;'Your debts'!$F$14),AG179,0)+IF(AND('Your debts'!$F$12&lt;&gt;"",'Your debts'!$F$14&lt;&gt;"",'Your debts'!$F$12&lt;'Your debts'!$F$14),AL179,0)+IF(AND('Your debts'!$F$13&lt;&gt;"",'Your debts'!$F$14&lt;&gt;"",'Your debts'!$F$13&lt;'Your debts'!$F$14),AQ179,0)+IF(AND('Your debts'!$F$15&lt;&gt;"",'Your debts'!$F$14&lt;&gt;"",'Your debts'!$F$15&lt;'Your debts'!$F$14),BA179,0)))))</f>
        <v/>
      </c>
      <c r="AX179" s="33">
        <f>AV179-AW179</f>
        <v/>
      </c>
      <c r="AY179" s="33">
        <f>IF(BC178&lt;=0,0,ROUND(BC178*(1+'Your debts'!$D$15/1200),2))</f>
        <v/>
      </c>
      <c r="AZ179" s="33">
        <f>IF(AY179&lt;=0,0,MIN('Your debts'!$E$15,AY179))</f>
        <v/>
      </c>
      <c r="BA179" s="33">
        <f>AY179-AZ179</f>
        <v/>
      </c>
      <c r="BB179" s="33">
        <f>IF('Your debts'!$F$15="",0,MIN(BA179,MAX(0,MAX(0,'Your debts'!$C$19-(G179+L179+Q179+V179+AA179+AF179+AK179+AP179+AU179+AZ179))-(IF(AND('Your debts'!$F$6&lt;&gt;"",'Your debts'!$F$15&lt;&gt;"",'Your debts'!$F$6&lt;'Your debts'!$F$15),H179,0)+IF(AND('Your debts'!$F$7&lt;&gt;"",'Your debts'!$F$15&lt;&gt;"",'Your debts'!$F$7&lt;'Your debts'!$F$15),M179,0)+IF(AND('Your debts'!$F$8&lt;&gt;"",'Your debts'!$F$15&lt;&gt;"",'Your debts'!$F$8&lt;'Your debts'!$F$15),R179,0)+IF(AND('Your debts'!$F$9&lt;&gt;"",'Your debts'!$F$15&lt;&gt;"",'Your debts'!$F$9&lt;'Your debts'!$F$15),W179,0)+IF(AND('Your debts'!$F$10&lt;&gt;"",'Your debts'!$F$15&lt;&gt;"",'Your debts'!$F$10&lt;'Your debts'!$F$15),AB179,0)+IF(AND('Your debts'!$F$11&lt;&gt;"",'Your debts'!$F$15&lt;&gt;"",'Your debts'!$F$11&lt;'Your debts'!$F$15),AG179,0)+IF(AND('Your debts'!$F$12&lt;&gt;"",'Your debts'!$F$15&lt;&gt;"",'Your debts'!$F$12&lt;'Your debts'!$F$15),AL179,0)+IF(AND('Your debts'!$F$13&lt;&gt;"",'Your debts'!$F$15&lt;&gt;"",'Your debts'!$F$13&lt;'Your debts'!$F$15),AQ179,0)+IF(AND('Your debts'!$F$14&lt;&gt;"",'Your debts'!$F$15&lt;&gt;"",'Your debts'!$F$14&lt;'Your debts'!$F$15),AV179,0)))))</f>
        <v/>
      </c>
      <c r="BC179" s="33">
        <f>BA179-BB179</f>
        <v/>
      </c>
    </row>
    <row r="180">
      <c r="A180" s="30" t="n">
        <v>165</v>
      </c>
      <c r="B180" s="31">
        <f>EDATE($B$15,165)</f>
        <v/>
      </c>
      <c r="C180" s="32">
        <f>IF(J179&lt;=0,0,F180-J179)+IF(O179&lt;=0,0,K180-O179)+IF(T179&lt;=0,0,P180-T179)+IF(Y179&lt;=0,0,U180-Y179)+IF(AD179&lt;=0,0,Z180-AD179)+IF(AI179&lt;=0,0,AE180-AI179)+IF(AN179&lt;=0,0,AJ180-AN179)+IF(AS179&lt;=0,0,AO180-AS179)+IF(AX179&lt;=0,0,AT180-AX179)+IF(BC179&lt;=0,0,AY180-BC179)</f>
        <v/>
      </c>
      <c r="D180" s="32">
        <f>G180+I180+L180+N180+Q180+S180+V180+X180+AA180+AC180+AF180+AH180+AK180+AM180+AP180+AR180+AU180+AW180+AZ180+BB180</f>
        <v/>
      </c>
      <c r="E180" s="32">
        <f>J180+O180+T180+Y180+AD180+AI180+AN180+AS180+AX180+BC180</f>
        <v/>
      </c>
      <c r="F180" s="33">
        <f>IF(J179&lt;=0,0,ROUND(J179*(1+'Your debts'!$D$6/1200),2))</f>
        <v/>
      </c>
      <c r="G180" s="33">
        <f>IF(F180&lt;=0,0,MIN('Your debts'!$E$6,F180))</f>
        <v/>
      </c>
      <c r="H180" s="33">
        <f>F180-G180</f>
        <v/>
      </c>
      <c r="I180" s="33">
        <f>IF('Your debts'!$F$6="",0,MIN(H180,MAX(0,MAX(0,'Your debts'!$C$19-(G180+L180+Q180+V180+AA180+AF180+AK180+AP180+AU180+AZ180))-(IF(AND('Your debts'!$F$7&lt;&gt;"",'Your debts'!$F$6&lt;&gt;"",'Your debts'!$F$7&lt;'Your debts'!$F$6),M180,0)+IF(AND('Your debts'!$F$8&lt;&gt;"",'Your debts'!$F$6&lt;&gt;"",'Your debts'!$F$8&lt;'Your debts'!$F$6),R180,0)+IF(AND('Your debts'!$F$9&lt;&gt;"",'Your debts'!$F$6&lt;&gt;"",'Your debts'!$F$9&lt;'Your debts'!$F$6),W180,0)+IF(AND('Your debts'!$F$10&lt;&gt;"",'Your debts'!$F$6&lt;&gt;"",'Your debts'!$F$10&lt;'Your debts'!$F$6),AB180,0)+IF(AND('Your debts'!$F$11&lt;&gt;"",'Your debts'!$F$6&lt;&gt;"",'Your debts'!$F$11&lt;'Your debts'!$F$6),AG180,0)+IF(AND('Your debts'!$F$12&lt;&gt;"",'Your debts'!$F$6&lt;&gt;"",'Your debts'!$F$12&lt;'Your debts'!$F$6),AL180,0)+IF(AND('Your debts'!$F$13&lt;&gt;"",'Your debts'!$F$6&lt;&gt;"",'Your debts'!$F$13&lt;'Your debts'!$F$6),AQ180,0)+IF(AND('Your debts'!$F$14&lt;&gt;"",'Your debts'!$F$6&lt;&gt;"",'Your debts'!$F$14&lt;'Your debts'!$F$6),AV180,0)+IF(AND('Your debts'!$F$15&lt;&gt;"",'Your debts'!$F$6&lt;&gt;"",'Your debts'!$F$15&lt;'Your debts'!$F$6),BA180,0)))))</f>
        <v/>
      </c>
      <c r="J180" s="33">
        <f>H180-I180</f>
        <v/>
      </c>
      <c r="K180" s="33">
        <f>IF(O179&lt;=0,0,ROUND(O179*(1+'Your debts'!$D$7/1200),2))</f>
        <v/>
      </c>
      <c r="L180" s="33">
        <f>IF(K180&lt;=0,0,MIN('Your debts'!$E$7,K180))</f>
        <v/>
      </c>
      <c r="M180" s="33">
        <f>K180-L180</f>
        <v/>
      </c>
      <c r="N180" s="33">
        <f>IF('Your debts'!$F$7="",0,MIN(M180,MAX(0,MAX(0,'Your debts'!$C$19-(G180+L180+Q180+V180+AA180+AF180+AK180+AP180+AU180+AZ180))-(IF(AND('Your debts'!$F$6&lt;&gt;"",'Your debts'!$F$7&lt;&gt;"",'Your debts'!$F$6&lt;'Your debts'!$F$7),H180,0)+IF(AND('Your debts'!$F$8&lt;&gt;"",'Your debts'!$F$7&lt;&gt;"",'Your debts'!$F$8&lt;'Your debts'!$F$7),R180,0)+IF(AND('Your debts'!$F$9&lt;&gt;"",'Your debts'!$F$7&lt;&gt;"",'Your debts'!$F$9&lt;'Your debts'!$F$7),W180,0)+IF(AND('Your debts'!$F$10&lt;&gt;"",'Your debts'!$F$7&lt;&gt;"",'Your debts'!$F$10&lt;'Your debts'!$F$7),AB180,0)+IF(AND('Your debts'!$F$11&lt;&gt;"",'Your debts'!$F$7&lt;&gt;"",'Your debts'!$F$11&lt;'Your debts'!$F$7),AG180,0)+IF(AND('Your debts'!$F$12&lt;&gt;"",'Your debts'!$F$7&lt;&gt;"",'Your debts'!$F$12&lt;'Your debts'!$F$7),AL180,0)+IF(AND('Your debts'!$F$13&lt;&gt;"",'Your debts'!$F$7&lt;&gt;"",'Your debts'!$F$13&lt;'Your debts'!$F$7),AQ180,0)+IF(AND('Your debts'!$F$14&lt;&gt;"",'Your debts'!$F$7&lt;&gt;"",'Your debts'!$F$14&lt;'Your debts'!$F$7),AV180,0)+IF(AND('Your debts'!$F$15&lt;&gt;"",'Your debts'!$F$7&lt;&gt;"",'Your debts'!$F$15&lt;'Your debts'!$F$7),BA180,0)))))</f>
        <v/>
      </c>
      <c r="O180" s="33">
        <f>M180-N180</f>
        <v/>
      </c>
      <c r="P180" s="33">
        <f>IF(T179&lt;=0,0,ROUND(T179*(1+'Your debts'!$D$8/1200),2))</f>
        <v/>
      </c>
      <c r="Q180" s="33">
        <f>IF(P180&lt;=0,0,MIN('Your debts'!$E$8,P180))</f>
        <v/>
      </c>
      <c r="R180" s="33">
        <f>P180-Q180</f>
        <v/>
      </c>
      <c r="S180" s="33">
        <f>IF('Your debts'!$F$8="",0,MIN(R180,MAX(0,MAX(0,'Your debts'!$C$19-(G180+L180+Q180+V180+AA180+AF180+AK180+AP180+AU180+AZ180))-(IF(AND('Your debts'!$F$6&lt;&gt;"",'Your debts'!$F$8&lt;&gt;"",'Your debts'!$F$6&lt;'Your debts'!$F$8),H180,0)+IF(AND('Your debts'!$F$7&lt;&gt;"",'Your debts'!$F$8&lt;&gt;"",'Your debts'!$F$7&lt;'Your debts'!$F$8),M180,0)+IF(AND('Your debts'!$F$9&lt;&gt;"",'Your debts'!$F$8&lt;&gt;"",'Your debts'!$F$9&lt;'Your debts'!$F$8),W180,0)+IF(AND('Your debts'!$F$10&lt;&gt;"",'Your debts'!$F$8&lt;&gt;"",'Your debts'!$F$10&lt;'Your debts'!$F$8),AB180,0)+IF(AND('Your debts'!$F$11&lt;&gt;"",'Your debts'!$F$8&lt;&gt;"",'Your debts'!$F$11&lt;'Your debts'!$F$8),AG180,0)+IF(AND('Your debts'!$F$12&lt;&gt;"",'Your debts'!$F$8&lt;&gt;"",'Your debts'!$F$12&lt;'Your debts'!$F$8),AL180,0)+IF(AND('Your debts'!$F$13&lt;&gt;"",'Your debts'!$F$8&lt;&gt;"",'Your debts'!$F$13&lt;'Your debts'!$F$8),AQ180,0)+IF(AND('Your debts'!$F$14&lt;&gt;"",'Your debts'!$F$8&lt;&gt;"",'Your debts'!$F$14&lt;'Your debts'!$F$8),AV180,0)+IF(AND('Your debts'!$F$15&lt;&gt;"",'Your debts'!$F$8&lt;&gt;"",'Your debts'!$F$15&lt;'Your debts'!$F$8),BA180,0)))))</f>
        <v/>
      </c>
      <c r="T180" s="33">
        <f>R180-S180</f>
        <v/>
      </c>
      <c r="U180" s="33">
        <f>IF(Y179&lt;=0,0,ROUND(Y179*(1+'Your debts'!$D$9/1200),2))</f>
        <v/>
      </c>
      <c r="V180" s="33">
        <f>IF(U180&lt;=0,0,MIN('Your debts'!$E$9,U180))</f>
        <v/>
      </c>
      <c r="W180" s="33">
        <f>U180-V180</f>
        <v/>
      </c>
      <c r="X180" s="33">
        <f>IF('Your debts'!$F$9="",0,MIN(W180,MAX(0,MAX(0,'Your debts'!$C$19-(G180+L180+Q180+V180+AA180+AF180+AK180+AP180+AU180+AZ180))-(IF(AND('Your debts'!$F$6&lt;&gt;"",'Your debts'!$F$9&lt;&gt;"",'Your debts'!$F$6&lt;'Your debts'!$F$9),H180,0)+IF(AND('Your debts'!$F$7&lt;&gt;"",'Your debts'!$F$9&lt;&gt;"",'Your debts'!$F$7&lt;'Your debts'!$F$9),M180,0)+IF(AND('Your debts'!$F$8&lt;&gt;"",'Your debts'!$F$9&lt;&gt;"",'Your debts'!$F$8&lt;'Your debts'!$F$9),R180,0)+IF(AND('Your debts'!$F$10&lt;&gt;"",'Your debts'!$F$9&lt;&gt;"",'Your debts'!$F$10&lt;'Your debts'!$F$9),AB180,0)+IF(AND('Your debts'!$F$11&lt;&gt;"",'Your debts'!$F$9&lt;&gt;"",'Your debts'!$F$11&lt;'Your debts'!$F$9),AG180,0)+IF(AND('Your debts'!$F$12&lt;&gt;"",'Your debts'!$F$9&lt;&gt;"",'Your debts'!$F$12&lt;'Your debts'!$F$9),AL180,0)+IF(AND('Your debts'!$F$13&lt;&gt;"",'Your debts'!$F$9&lt;&gt;"",'Your debts'!$F$13&lt;'Your debts'!$F$9),AQ180,0)+IF(AND('Your debts'!$F$14&lt;&gt;"",'Your debts'!$F$9&lt;&gt;"",'Your debts'!$F$14&lt;'Your debts'!$F$9),AV180,0)+IF(AND('Your debts'!$F$15&lt;&gt;"",'Your debts'!$F$9&lt;&gt;"",'Your debts'!$F$15&lt;'Your debts'!$F$9),BA180,0)))))</f>
        <v/>
      </c>
      <c r="Y180" s="33">
        <f>W180-X180</f>
        <v/>
      </c>
      <c r="Z180" s="33">
        <f>IF(AD179&lt;=0,0,ROUND(AD179*(1+'Your debts'!$D$10/1200),2))</f>
        <v/>
      </c>
      <c r="AA180" s="33">
        <f>IF(Z180&lt;=0,0,MIN('Your debts'!$E$10,Z180))</f>
        <v/>
      </c>
      <c r="AB180" s="33">
        <f>Z180-AA180</f>
        <v/>
      </c>
      <c r="AC180" s="33">
        <f>IF('Your debts'!$F$10="",0,MIN(AB180,MAX(0,MAX(0,'Your debts'!$C$19-(G180+L180+Q180+V180+AA180+AF180+AK180+AP180+AU180+AZ180))-(IF(AND('Your debts'!$F$6&lt;&gt;"",'Your debts'!$F$10&lt;&gt;"",'Your debts'!$F$6&lt;'Your debts'!$F$10),H180,0)+IF(AND('Your debts'!$F$7&lt;&gt;"",'Your debts'!$F$10&lt;&gt;"",'Your debts'!$F$7&lt;'Your debts'!$F$10),M180,0)+IF(AND('Your debts'!$F$8&lt;&gt;"",'Your debts'!$F$10&lt;&gt;"",'Your debts'!$F$8&lt;'Your debts'!$F$10),R180,0)+IF(AND('Your debts'!$F$9&lt;&gt;"",'Your debts'!$F$10&lt;&gt;"",'Your debts'!$F$9&lt;'Your debts'!$F$10),W180,0)+IF(AND('Your debts'!$F$11&lt;&gt;"",'Your debts'!$F$10&lt;&gt;"",'Your debts'!$F$11&lt;'Your debts'!$F$10),AG180,0)+IF(AND('Your debts'!$F$12&lt;&gt;"",'Your debts'!$F$10&lt;&gt;"",'Your debts'!$F$12&lt;'Your debts'!$F$10),AL180,0)+IF(AND('Your debts'!$F$13&lt;&gt;"",'Your debts'!$F$10&lt;&gt;"",'Your debts'!$F$13&lt;'Your debts'!$F$10),AQ180,0)+IF(AND('Your debts'!$F$14&lt;&gt;"",'Your debts'!$F$10&lt;&gt;"",'Your debts'!$F$14&lt;'Your debts'!$F$10),AV180,0)+IF(AND('Your debts'!$F$15&lt;&gt;"",'Your debts'!$F$10&lt;&gt;"",'Your debts'!$F$15&lt;'Your debts'!$F$10),BA180,0)))))</f>
        <v/>
      </c>
      <c r="AD180" s="33">
        <f>AB180-AC180</f>
        <v/>
      </c>
      <c r="AE180" s="33">
        <f>IF(AI179&lt;=0,0,ROUND(AI179*(1+'Your debts'!$D$11/1200),2))</f>
        <v/>
      </c>
      <c r="AF180" s="33">
        <f>IF(AE180&lt;=0,0,MIN('Your debts'!$E$11,AE180))</f>
        <v/>
      </c>
      <c r="AG180" s="33">
        <f>AE180-AF180</f>
        <v/>
      </c>
      <c r="AH180" s="33">
        <f>IF('Your debts'!$F$11="",0,MIN(AG180,MAX(0,MAX(0,'Your debts'!$C$19-(G180+L180+Q180+V180+AA180+AF180+AK180+AP180+AU180+AZ180))-(IF(AND('Your debts'!$F$6&lt;&gt;"",'Your debts'!$F$11&lt;&gt;"",'Your debts'!$F$6&lt;'Your debts'!$F$11),H180,0)+IF(AND('Your debts'!$F$7&lt;&gt;"",'Your debts'!$F$11&lt;&gt;"",'Your debts'!$F$7&lt;'Your debts'!$F$11),M180,0)+IF(AND('Your debts'!$F$8&lt;&gt;"",'Your debts'!$F$11&lt;&gt;"",'Your debts'!$F$8&lt;'Your debts'!$F$11),R180,0)+IF(AND('Your debts'!$F$9&lt;&gt;"",'Your debts'!$F$11&lt;&gt;"",'Your debts'!$F$9&lt;'Your debts'!$F$11),W180,0)+IF(AND('Your debts'!$F$10&lt;&gt;"",'Your debts'!$F$11&lt;&gt;"",'Your debts'!$F$10&lt;'Your debts'!$F$11),AB180,0)+IF(AND('Your debts'!$F$12&lt;&gt;"",'Your debts'!$F$11&lt;&gt;"",'Your debts'!$F$12&lt;'Your debts'!$F$11),AL180,0)+IF(AND('Your debts'!$F$13&lt;&gt;"",'Your debts'!$F$11&lt;&gt;"",'Your debts'!$F$13&lt;'Your debts'!$F$11),AQ180,0)+IF(AND('Your debts'!$F$14&lt;&gt;"",'Your debts'!$F$11&lt;&gt;"",'Your debts'!$F$14&lt;'Your debts'!$F$11),AV180,0)+IF(AND('Your debts'!$F$15&lt;&gt;"",'Your debts'!$F$11&lt;&gt;"",'Your debts'!$F$15&lt;'Your debts'!$F$11),BA180,0)))))</f>
        <v/>
      </c>
      <c r="AI180" s="33">
        <f>AG180-AH180</f>
        <v/>
      </c>
      <c r="AJ180" s="33">
        <f>IF(AN179&lt;=0,0,ROUND(AN179*(1+'Your debts'!$D$12/1200),2))</f>
        <v/>
      </c>
      <c r="AK180" s="33">
        <f>IF(AJ180&lt;=0,0,MIN('Your debts'!$E$12,AJ180))</f>
        <v/>
      </c>
      <c r="AL180" s="33">
        <f>AJ180-AK180</f>
        <v/>
      </c>
      <c r="AM180" s="33">
        <f>IF('Your debts'!$F$12="",0,MIN(AL180,MAX(0,MAX(0,'Your debts'!$C$19-(G180+L180+Q180+V180+AA180+AF180+AK180+AP180+AU180+AZ180))-(IF(AND('Your debts'!$F$6&lt;&gt;"",'Your debts'!$F$12&lt;&gt;"",'Your debts'!$F$6&lt;'Your debts'!$F$12),H180,0)+IF(AND('Your debts'!$F$7&lt;&gt;"",'Your debts'!$F$12&lt;&gt;"",'Your debts'!$F$7&lt;'Your debts'!$F$12),M180,0)+IF(AND('Your debts'!$F$8&lt;&gt;"",'Your debts'!$F$12&lt;&gt;"",'Your debts'!$F$8&lt;'Your debts'!$F$12),R180,0)+IF(AND('Your debts'!$F$9&lt;&gt;"",'Your debts'!$F$12&lt;&gt;"",'Your debts'!$F$9&lt;'Your debts'!$F$12),W180,0)+IF(AND('Your debts'!$F$10&lt;&gt;"",'Your debts'!$F$12&lt;&gt;"",'Your debts'!$F$10&lt;'Your debts'!$F$12),AB180,0)+IF(AND('Your debts'!$F$11&lt;&gt;"",'Your debts'!$F$12&lt;&gt;"",'Your debts'!$F$11&lt;'Your debts'!$F$12),AG180,0)+IF(AND('Your debts'!$F$13&lt;&gt;"",'Your debts'!$F$12&lt;&gt;"",'Your debts'!$F$13&lt;'Your debts'!$F$12),AQ180,0)+IF(AND('Your debts'!$F$14&lt;&gt;"",'Your debts'!$F$12&lt;&gt;"",'Your debts'!$F$14&lt;'Your debts'!$F$12),AV180,0)+IF(AND('Your debts'!$F$15&lt;&gt;"",'Your debts'!$F$12&lt;&gt;"",'Your debts'!$F$15&lt;'Your debts'!$F$12),BA180,0)))))</f>
        <v/>
      </c>
      <c r="AN180" s="33">
        <f>AL180-AM180</f>
        <v/>
      </c>
      <c r="AO180" s="33">
        <f>IF(AS179&lt;=0,0,ROUND(AS179*(1+'Your debts'!$D$13/1200),2))</f>
        <v/>
      </c>
      <c r="AP180" s="33">
        <f>IF(AO180&lt;=0,0,MIN('Your debts'!$E$13,AO180))</f>
        <v/>
      </c>
      <c r="AQ180" s="33">
        <f>AO180-AP180</f>
        <v/>
      </c>
      <c r="AR180" s="33">
        <f>IF('Your debts'!$F$13="",0,MIN(AQ180,MAX(0,MAX(0,'Your debts'!$C$19-(G180+L180+Q180+V180+AA180+AF180+AK180+AP180+AU180+AZ180))-(IF(AND('Your debts'!$F$6&lt;&gt;"",'Your debts'!$F$13&lt;&gt;"",'Your debts'!$F$6&lt;'Your debts'!$F$13),H180,0)+IF(AND('Your debts'!$F$7&lt;&gt;"",'Your debts'!$F$13&lt;&gt;"",'Your debts'!$F$7&lt;'Your debts'!$F$13),M180,0)+IF(AND('Your debts'!$F$8&lt;&gt;"",'Your debts'!$F$13&lt;&gt;"",'Your debts'!$F$8&lt;'Your debts'!$F$13),R180,0)+IF(AND('Your debts'!$F$9&lt;&gt;"",'Your debts'!$F$13&lt;&gt;"",'Your debts'!$F$9&lt;'Your debts'!$F$13),W180,0)+IF(AND('Your debts'!$F$10&lt;&gt;"",'Your debts'!$F$13&lt;&gt;"",'Your debts'!$F$10&lt;'Your debts'!$F$13),AB180,0)+IF(AND('Your debts'!$F$11&lt;&gt;"",'Your debts'!$F$13&lt;&gt;"",'Your debts'!$F$11&lt;'Your debts'!$F$13),AG180,0)+IF(AND('Your debts'!$F$12&lt;&gt;"",'Your debts'!$F$13&lt;&gt;"",'Your debts'!$F$12&lt;'Your debts'!$F$13),AL180,0)+IF(AND('Your debts'!$F$14&lt;&gt;"",'Your debts'!$F$13&lt;&gt;"",'Your debts'!$F$14&lt;'Your debts'!$F$13),AV180,0)+IF(AND('Your debts'!$F$15&lt;&gt;"",'Your debts'!$F$13&lt;&gt;"",'Your debts'!$F$15&lt;'Your debts'!$F$13),BA180,0)))))</f>
        <v/>
      </c>
      <c r="AS180" s="33">
        <f>AQ180-AR180</f>
        <v/>
      </c>
      <c r="AT180" s="33">
        <f>IF(AX179&lt;=0,0,ROUND(AX179*(1+'Your debts'!$D$14/1200),2))</f>
        <v/>
      </c>
      <c r="AU180" s="33">
        <f>IF(AT180&lt;=0,0,MIN('Your debts'!$E$14,AT180))</f>
        <v/>
      </c>
      <c r="AV180" s="33">
        <f>AT180-AU180</f>
        <v/>
      </c>
      <c r="AW180" s="33">
        <f>IF('Your debts'!$F$14="",0,MIN(AV180,MAX(0,MAX(0,'Your debts'!$C$19-(G180+L180+Q180+V180+AA180+AF180+AK180+AP180+AU180+AZ180))-(IF(AND('Your debts'!$F$6&lt;&gt;"",'Your debts'!$F$14&lt;&gt;"",'Your debts'!$F$6&lt;'Your debts'!$F$14),H180,0)+IF(AND('Your debts'!$F$7&lt;&gt;"",'Your debts'!$F$14&lt;&gt;"",'Your debts'!$F$7&lt;'Your debts'!$F$14),M180,0)+IF(AND('Your debts'!$F$8&lt;&gt;"",'Your debts'!$F$14&lt;&gt;"",'Your debts'!$F$8&lt;'Your debts'!$F$14),R180,0)+IF(AND('Your debts'!$F$9&lt;&gt;"",'Your debts'!$F$14&lt;&gt;"",'Your debts'!$F$9&lt;'Your debts'!$F$14),W180,0)+IF(AND('Your debts'!$F$10&lt;&gt;"",'Your debts'!$F$14&lt;&gt;"",'Your debts'!$F$10&lt;'Your debts'!$F$14),AB180,0)+IF(AND('Your debts'!$F$11&lt;&gt;"",'Your debts'!$F$14&lt;&gt;"",'Your debts'!$F$11&lt;'Your debts'!$F$14),AG180,0)+IF(AND('Your debts'!$F$12&lt;&gt;"",'Your debts'!$F$14&lt;&gt;"",'Your debts'!$F$12&lt;'Your debts'!$F$14),AL180,0)+IF(AND('Your debts'!$F$13&lt;&gt;"",'Your debts'!$F$14&lt;&gt;"",'Your debts'!$F$13&lt;'Your debts'!$F$14),AQ180,0)+IF(AND('Your debts'!$F$15&lt;&gt;"",'Your debts'!$F$14&lt;&gt;"",'Your debts'!$F$15&lt;'Your debts'!$F$14),BA180,0)))))</f>
        <v/>
      </c>
      <c r="AX180" s="33">
        <f>AV180-AW180</f>
        <v/>
      </c>
      <c r="AY180" s="33">
        <f>IF(BC179&lt;=0,0,ROUND(BC179*(1+'Your debts'!$D$15/1200),2))</f>
        <v/>
      </c>
      <c r="AZ180" s="33">
        <f>IF(AY180&lt;=0,0,MIN('Your debts'!$E$15,AY180))</f>
        <v/>
      </c>
      <c r="BA180" s="33">
        <f>AY180-AZ180</f>
        <v/>
      </c>
      <c r="BB180" s="33">
        <f>IF('Your debts'!$F$15="",0,MIN(BA180,MAX(0,MAX(0,'Your debts'!$C$19-(G180+L180+Q180+V180+AA180+AF180+AK180+AP180+AU180+AZ180))-(IF(AND('Your debts'!$F$6&lt;&gt;"",'Your debts'!$F$15&lt;&gt;"",'Your debts'!$F$6&lt;'Your debts'!$F$15),H180,0)+IF(AND('Your debts'!$F$7&lt;&gt;"",'Your debts'!$F$15&lt;&gt;"",'Your debts'!$F$7&lt;'Your debts'!$F$15),M180,0)+IF(AND('Your debts'!$F$8&lt;&gt;"",'Your debts'!$F$15&lt;&gt;"",'Your debts'!$F$8&lt;'Your debts'!$F$15),R180,0)+IF(AND('Your debts'!$F$9&lt;&gt;"",'Your debts'!$F$15&lt;&gt;"",'Your debts'!$F$9&lt;'Your debts'!$F$15),W180,0)+IF(AND('Your debts'!$F$10&lt;&gt;"",'Your debts'!$F$15&lt;&gt;"",'Your debts'!$F$10&lt;'Your debts'!$F$15),AB180,0)+IF(AND('Your debts'!$F$11&lt;&gt;"",'Your debts'!$F$15&lt;&gt;"",'Your debts'!$F$11&lt;'Your debts'!$F$15),AG180,0)+IF(AND('Your debts'!$F$12&lt;&gt;"",'Your debts'!$F$15&lt;&gt;"",'Your debts'!$F$12&lt;'Your debts'!$F$15),AL180,0)+IF(AND('Your debts'!$F$13&lt;&gt;"",'Your debts'!$F$15&lt;&gt;"",'Your debts'!$F$13&lt;'Your debts'!$F$15),AQ180,0)+IF(AND('Your debts'!$F$14&lt;&gt;"",'Your debts'!$F$15&lt;&gt;"",'Your debts'!$F$14&lt;'Your debts'!$F$15),AV180,0)))))</f>
        <v/>
      </c>
      <c r="BC180" s="33">
        <f>BA180-BB180</f>
        <v/>
      </c>
    </row>
    <row r="181">
      <c r="A181" s="30" t="n">
        <v>166</v>
      </c>
      <c r="B181" s="31">
        <f>EDATE($B$15,166)</f>
        <v/>
      </c>
      <c r="C181" s="32">
        <f>IF(J180&lt;=0,0,F181-J180)+IF(O180&lt;=0,0,K181-O180)+IF(T180&lt;=0,0,P181-T180)+IF(Y180&lt;=0,0,U181-Y180)+IF(AD180&lt;=0,0,Z181-AD180)+IF(AI180&lt;=0,0,AE181-AI180)+IF(AN180&lt;=0,0,AJ181-AN180)+IF(AS180&lt;=0,0,AO181-AS180)+IF(AX180&lt;=0,0,AT181-AX180)+IF(BC180&lt;=0,0,AY181-BC180)</f>
        <v/>
      </c>
      <c r="D181" s="32">
        <f>G181+I181+L181+N181+Q181+S181+V181+X181+AA181+AC181+AF181+AH181+AK181+AM181+AP181+AR181+AU181+AW181+AZ181+BB181</f>
        <v/>
      </c>
      <c r="E181" s="32">
        <f>J181+O181+T181+Y181+AD181+AI181+AN181+AS181+AX181+BC181</f>
        <v/>
      </c>
      <c r="F181" s="33">
        <f>IF(J180&lt;=0,0,ROUND(J180*(1+'Your debts'!$D$6/1200),2))</f>
        <v/>
      </c>
      <c r="G181" s="33">
        <f>IF(F181&lt;=0,0,MIN('Your debts'!$E$6,F181))</f>
        <v/>
      </c>
      <c r="H181" s="33">
        <f>F181-G181</f>
        <v/>
      </c>
      <c r="I181" s="33">
        <f>IF('Your debts'!$F$6="",0,MIN(H181,MAX(0,MAX(0,'Your debts'!$C$19-(G181+L181+Q181+V181+AA181+AF181+AK181+AP181+AU181+AZ181))-(IF(AND('Your debts'!$F$7&lt;&gt;"",'Your debts'!$F$6&lt;&gt;"",'Your debts'!$F$7&lt;'Your debts'!$F$6),M181,0)+IF(AND('Your debts'!$F$8&lt;&gt;"",'Your debts'!$F$6&lt;&gt;"",'Your debts'!$F$8&lt;'Your debts'!$F$6),R181,0)+IF(AND('Your debts'!$F$9&lt;&gt;"",'Your debts'!$F$6&lt;&gt;"",'Your debts'!$F$9&lt;'Your debts'!$F$6),W181,0)+IF(AND('Your debts'!$F$10&lt;&gt;"",'Your debts'!$F$6&lt;&gt;"",'Your debts'!$F$10&lt;'Your debts'!$F$6),AB181,0)+IF(AND('Your debts'!$F$11&lt;&gt;"",'Your debts'!$F$6&lt;&gt;"",'Your debts'!$F$11&lt;'Your debts'!$F$6),AG181,0)+IF(AND('Your debts'!$F$12&lt;&gt;"",'Your debts'!$F$6&lt;&gt;"",'Your debts'!$F$12&lt;'Your debts'!$F$6),AL181,0)+IF(AND('Your debts'!$F$13&lt;&gt;"",'Your debts'!$F$6&lt;&gt;"",'Your debts'!$F$13&lt;'Your debts'!$F$6),AQ181,0)+IF(AND('Your debts'!$F$14&lt;&gt;"",'Your debts'!$F$6&lt;&gt;"",'Your debts'!$F$14&lt;'Your debts'!$F$6),AV181,0)+IF(AND('Your debts'!$F$15&lt;&gt;"",'Your debts'!$F$6&lt;&gt;"",'Your debts'!$F$15&lt;'Your debts'!$F$6),BA181,0)))))</f>
        <v/>
      </c>
      <c r="J181" s="33">
        <f>H181-I181</f>
        <v/>
      </c>
      <c r="K181" s="33">
        <f>IF(O180&lt;=0,0,ROUND(O180*(1+'Your debts'!$D$7/1200),2))</f>
        <v/>
      </c>
      <c r="L181" s="33">
        <f>IF(K181&lt;=0,0,MIN('Your debts'!$E$7,K181))</f>
        <v/>
      </c>
      <c r="M181" s="33">
        <f>K181-L181</f>
        <v/>
      </c>
      <c r="N181" s="33">
        <f>IF('Your debts'!$F$7="",0,MIN(M181,MAX(0,MAX(0,'Your debts'!$C$19-(G181+L181+Q181+V181+AA181+AF181+AK181+AP181+AU181+AZ181))-(IF(AND('Your debts'!$F$6&lt;&gt;"",'Your debts'!$F$7&lt;&gt;"",'Your debts'!$F$6&lt;'Your debts'!$F$7),H181,0)+IF(AND('Your debts'!$F$8&lt;&gt;"",'Your debts'!$F$7&lt;&gt;"",'Your debts'!$F$8&lt;'Your debts'!$F$7),R181,0)+IF(AND('Your debts'!$F$9&lt;&gt;"",'Your debts'!$F$7&lt;&gt;"",'Your debts'!$F$9&lt;'Your debts'!$F$7),W181,0)+IF(AND('Your debts'!$F$10&lt;&gt;"",'Your debts'!$F$7&lt;&gt;"",'Your debts'!$F$10&lt;'Your debts'!$F$7),AB181,0)+IF(AND('Your debts'!$F$11&lt;&gt;"",'Your debts'!$F$7&lt;&gt;"",'Your debts'!$F$11&lt;'Your debts'!$F$7),AG181,0)+IF(AND('Your debts'!$F$12&lt;&gt;"",'Your debts'!$F$7&lt;&gt;"",'Your debts'!$F$12&lt;'Your debts'!$F$7),AL181,0)+IF(AND('Your debts'!$F$13&lt;&gt;"",'Your debts'!$F$7&lt;&gt;"",'Your debts'!$F$13&lt;'Your debts'!$F$7),AQ181,0)+IF(AND('Your debts'!$F$14&lt;&gt;"",'Your debts'!$F$7&lt;&gt;"",'Your debts'!$F$14&lt;'Your debts'!$F$7),AV181,0)+IF(AND('Your debts'!$F$15&lt;&gt;"",'Your debts'!$F$7&lt;&gt;"",'Your debts'!$F$15&lt;'Your debts'!$F$7),BA181,0)))))</f>
        <v/>
      </c>
      <c r="O181" s="33">
        <f>M181-N181</f>
        <v/>
      </c>
      <c r="P181" s="33">
        <f>IF(T180&lt;=0,0,ROUND(T180*(1+'Your debts'!$D$8/1200),2))</f>
        <v/>
      </c>
      <c r="Q181" s="33">
        <f>IF(P181&lt;=0,0,MIN('Your debts'!$E$8,P181))</f>
        <v/>
      </c>
      <c r="R181" s="33">
        <f>P181-Q181</f>
        <v/>
      </c>
      <c r="S181" s="33">
        <f>IF('Your debts'!$F$8="",0,MIN(R181,MAX(0,MAX(0,'Your debts'!$C$19-(G181+L181+Q181+V181+AA181+AF181+AK181+AP181+AU181+AZ181))-(IF(AND('Your debts'!$F$6&lt;&gt;"",'Your debts'!$F$8&lt;&gt;"",'Your debts'!$F$6&lt;'Your debts'!$F$8),H181,0)+IF(AND('Your debts'!$F$7&lt;&gt;"",'Your debts'!$F$8&lt;&gt;"",'Your debts'!$F$7&lt;'Your debts'!$F$8),M181,0)+IF(AND('Your debts'!$F$9&lt;&gt;"",'Your debts'!$F$8&lt;&gt;"",'Your debts'!$F$9&lt;'Your debts'!$F$8),W181,0)+IF(AND('Your debts'!$F$10&lt;&gt;"",'Your debts'!$F$8&lt;&gt;"",'Your debts'!$F$10&lt;'Your debts'!$F$8),AB181,0)+IF(AND('Your debts'!$F$11&lt;&gt;"",'Your debts'!$F$8&lt;&gt;"",'Your debts'!$F$11&lt;'Your debts'!$F$8),AG181,0)+IF(AND('Your debts'!$F$12&lt;&gt;"",'Your debts'!$F$8&lt;&gt;"",'Your debts'!$F$12&lt;'Your debts'!$F$8),AL181,0)+IF(AND('Your debts'!$F$13&lt;&gt;"",'Your debts'!$F$8&lt;&gt;"",'Your debts'!$F$13&lt;'Your debts'!$F$8),AQ181,0)+IF(AND('Your debts'!$F$14&lt;&gt;"",'Your debts'!$F$8&lt;&gt;"",'Your debts'!$F$14&lt;'Your debts'!$F$8),AV181,0)+IF(AND('Your debts'!$F$15&lt;&gt;"",'Your debts'!$F$8&lt;&gt;"",'Your debts'!$F$15&lt;'Your debts'!$F$8),BA181,0)))))</f>
        <v/>
      </c>
      <c r="T181" s="33">
        <f>R181-S181</f>
        <v/>
      </c>
      <c r="U181" s="33">
        <f>IF(Y180&lt;=0,0,ROUND(Y180*(1+'Your debts'!$D$9/1200),2))</f>
        <v/>
      </c>
      <c r="V181" s="33">
        <f>IF(U181&lt;=0,0,MIN('Your debts'!$E$9,U181))</f>
        <v/>
      </c>
      <c r="W181" s="33">
        <f>U181-V181</f>
        <v/>
      </c>
      <c r="X181" s="33">
        <f>IF('Your debts'!$F$9="",0,MIN(W181,MAX(0,MAX(0,'Your debts'!$C$19-(G181+L181+Q181+V181+AA181+AF181+AK181+AP181+AU181+AZ181))-(IF(AND('Your debts'!$F$6&lt;&gt;"",'Your debts'!$F$9&lt;&gt;"",'Your debts'!$F$6&lt;'Your debts'!$F$9),H181,0)+IF(AND('Your debts'!$F$7&lt;&gt;"",'Your debts'!$F$9&lt;&gt;"",'Your debts'!$F$7&lt;'Your debts'!$F$9),M181,0)+IF(AND('Your debts'!$F$8&lt;&gt;"",'Your debts'!$F$9&lt;&gt;"",'Your debts'!$F$8&lt;'Your debts'!$F$9),R181,0)+IF(AND('Your debts'!$F$10&lt;&gt;"",'Your debts'!$F$9&lt;&gt;"",'Your debts'!$F$10&lt;'Your debts'!$F$9),AB181,0)+IF(AND('Your debts'!$F$11&lt;&gt;"",'Your debts'!$F$9&lt;&gt;"",'Your debts'!$F$11&lt;'Your debts'!$F$9),AG181,0)+IF(AND('Your debts'!$F$12&lt;&gt;"",'Your debts'!$F$9&lt;&gt;"",'Your debts'!$F$12&lt;'Your debts'!$F$9),AL181,0)+IF(AND('Your debts'!$F$13&lt;&gt;"",'Your debts'!$F$9&lt;&gt;"",'Your debts'!$F$13&lt;'Your debts'!$F$9),AQ181,0)+IF(AND('Your debts'!$F$14&lt;&gt;"",'Your debts'!$F$9&lt;&gt;"",'Your debts'!$F$14&lt;'Your debts'!$F$9),AV181,0)+IF(AND('Your debts'!$F$15&lt;&gt;"",'Your debts'!$F$9&lt;&gt;"",'Your debts'!$F$15&lt;'Your debts'!$F$9),BA181,0)))))</f>
        <v/>
      </c>
      <c r="Y181" s="33">
        <f>W181-X181</f>
        <v/>
      </c>
      <c r="Z181" s="33">
        <f>IF(AD180&lt;=0,0,ROUND(AD180*(1+'Your debts'!$D$10/1200),2))</f>
        <v/>
      </c>
      <c r="AA181" s="33">
        <f>IF(Z181&lt;=0,0,MIN('Your debts'!$E$10,Z181))</f>
        <v/>
      </c>
      <c r="AB181" s="33">
        <f>Z181-AA181</f>
        <v/>
      </c>
      <c r="AC181" s="33">
        <f>IF('Your debts'!$F$10="",0,MIN(AB181,MAX(0,MAX(0,'Your debts'!$C$19-(G181+L181+Q181+V181+AA181+AF181+AK181+AP181+AU181+AZ181))-(IF(AND('Your debts'!$F$6&lt;&gt;"",'Your debts'!$F$10&lt;&gt;"",'Your debts'!$F$6&lt;'Your debts'!$F$10),H181,0)+IF(AND('Your debts'!$F$7&lt;&gt;"",'Your debts'!$F$10&lt;&gt;"",'Your debts'!$F$7&lt;'Your debts'!$F$10),M181,0)+IF(AND('Your debts'!$F$8&lt;&gt;"",'Your debts'!$F$10&lt;&gt;"",'Your debts'!$F$8&lt;'Your debts'!$F$10),R181,0)+IF(AND('Your debts'!$F$9&lt;&gt;"",'Your debts'!$F$10&lt;&gt;"",'Your debts'!$F$9&lt;'Your debts'!$F$10),W181,0)+IF(AND('Your debts'!$F$11&lt;&gt;"",'Your debts'!$F$10&lt;&gt;"",'Your debts'!$F$11&lt;'Your debts'!$F$10),AG181,0)+IF(AND('Your debts'!$F$12&lt;&gt;"",'Your debts'!$F$10&lt;&gt;"",'Your debts'!$F$12&lt;'Your debts'!$F$10),AL181,0)+IF(AND('Your debts'!$F$13&lt;&gt;"",'Your debts'!$F$10&lt;&gt;"",'Your debts'!$F$13&lt;'Your debts'!$F$10),AQ181,0)+IF(AND('Your debts'!$F$14&lt;&gt;"",'Your debts'!$F$10&lt;&gt;"",'Your debts'!$F$14&lt;'Your debts'!$F$10),AV181,0)+IF(AND('Your debts'!$F$15&lt;&gt;"",'Your debts'!$F$10&lt;&gt;"",'Your debts'!$F$15&lt;'Your debts'!$F$10),BA181,0)))))</f>
        <v/>
      </c>
      <c r="AD181" s="33">
        <f>AB181-AC181</f>
        <v/>
      </c>
      <c r="AE181" s="33">
        <f>IF(AI180&lt;=0,0,ROUND(AI180*(1+'Your debts'!$D$11/1200),2))</f>
        <v/>
      </c>
      <c r="AF181" s="33">
        <f>IF(AE181&lt;=0,0,MIN('Your debts'!$E$11,AE181))</f>
        <v/>
      </c>
      <c r="AG181" s="33">
        <f>AE181-AF181</f>
        <v/>
      </c>
      <c r="AH181" s="33">
        <f>IF('Your debts'!$F$11="",0,MIN(AG181,MAX(0,MAX(0,'Your debts'!$C$19-(G181+L181+Q181+V181+AA181+AF181+AK181+AP181+AU181+AZ181))-(IF(AND('Your debts'!$F$6&lt;&gt;"",'Your debts'!$F$11&lt;&gt;"",'Your debts'!$F$6&lt;'Your debts'!$F$11),H181,0)+IF(AND('Your debts'!$F$7&lt;&gt;"",'Your debts'!$F$11&lt;&gt;"",'Your debts'!$F$7&lt;'Your debts'!$F$11),M181,0)+IF(AND('Your debts'!$F$8&lt;&gt;"",'Your debts'!$F$11&lt;&gt;"",'Your debts'!$F$8&lt;'Your debts'!$F$11),R181,0)+IF(AND('Your debts'!$F$9&lt;&gt;"",'Your debts'!$F$11&lt;&gt;"",'Your debts'!$F$9&lt;'Your debts'!$F$11),W181,0)+IF(AND('Your debts'!$F$10&lt;&gt;"",'Your debts'!$F$11&lt;&gt;"",'Your debts'!$F$10&lt;'Your debts'!$F$11),AB181,0)+IF(AND('Your debts'!$F$12&lt;&gt;"",'Your debts'!$F$11&lt;&gt;"",'Your debts'!$F$12&lt;'Your debts'!$F$11),AL181,0)+IF(AND('Your debts'!$F$13&lt;&gt;"",'Your debts'!$F$11&lt;&gt;"",'Your debts'!$F$13&lt;'Your debts'!$F$11),AQ181,0)+IF(AND('Your debts'!$F$14&lt;&gt;"",'Your debts'!$F$11&lt;&gt;"",'Your debts'!$F$14&lt;'Your debts'!$F$11),AV181,0)+IF(AND('Your debts'!$F$15&lt;&gt;"",'Your debts'!$F$11&lt;&gt;"",'Your debts'!$F$15&lt;'Your debts'!$F$11),BA181,0)))))</f>
        <v/>
      </c>
      <c r="AI181" s="33">
        <f>AG181-AH181</f>
        <v/>
      </c>
      <c r="AJ181" s="33">
        <f>IF(AN180&lt;=0,0,ROUND(AN180*(1+'Your debts'!$D$12/1200),2))</f>
        <v/>
      </c>
      <c r="AK181" s="33">
        <f>IF(AJ181&lt;=0,0,MIN('Your debts'!$E$12,AJ181))</f>
        <v/>
      </c>
      <c r="AL181" s="33">
        <f>AJ181-AK181</f>
        <v/>
      </c>
      <c r="AM181" s="33">
        <f>IF('Your debts'!$F$12="",0,MIN(AL181,MAX(0,MAX(0,'Your debts'!$C$19-(G181+L181+Q181+V181+AA181+AF181+AK181+AP181+AU181+AZ181))-(IF(AND('Your debts'!$F$6&lt;&gt;"",'Your debts'!$F$12&lt;&gt;"",'Your debts'!$F$6&lt;'Your debts'!$F$12),H181,0)+IF(AND('Your debts'!$F$7&lt;&gt;"",'Your debts'!$F$12&lt;&gt;"",'Your debts'!$F$7&lt;'Your debts'!$F$12),M181,0)+IF(AND('Your debts'!$F$8&lt;&gt;"",'Your debts'!$F$12&lt;&gt;"",'Your debts'!$F$8&lt;'Your debts'!$F$12),R181,0)+IF(AND('Your debts'!$F$9&lt;&gt;"",'Your debts'!$F$12&lt;&gt;"",'Your debts'!$F$9&lt;'Your debts'!$F$12),W181,0)+IF(AND('Your debts'!$F$10&lt;&gt;"",'Your debts'!$F$12&lt;&gt;"",'Your debts'!$F$10&lt;'Your debts'!$F$12),AB181,0)+IF(AND('Your debts'!$F$11&lt;&gt;"",'Your debts'!$F$12&lt;&gt;"",'Your debts'!$F$11&lt;'Your debts'!$F$12),AG181,0)+IF(AND('Your debts'!$F$13&lt;&gt;"",'Your debts'!$F$12&lt;&gt;"",'Your debts'!$F$13&lt;'Your debts'!$F$12),AQ181,0)+IF(AND('Your debts'!$F$14&lt;&gt;"",'Your debts'!$F$12&lt;&gt;"",'Your debts'!$F$14&lt;'Your debts'!$F$12),AV181,0)+IF(AND('Your debts'!$F$15&lt;&gt;"",'Your debts'!$F$12&lt;&gt;"",'Your debts'!$F$15&lt;'Your debts'!$F$12),BA181,0)))))</f>
        <v/>
      </c>
      <c r="AN181" s="33">
        <f>AL181-AM181</f>
        <v/>
      </c>
      <c r="AO181" s="33">
        <f>IF(AS180&lt;=0,0,ROUND(AS180*(1+'Your debts'!$D$13/1200),2))</f>
        <v/>
      </c>
      <c r="AP181" s="33">
        <f>IF(AO181&lt;=0,0,MIN('Your debts'!$E$13,AO181))</f>
        <v/>
      </c>
      <c r="AQ181" s="33">
        <f>AO181-AP181</f>
        <v/>
      </c>
      <c r="AR181" s="33">
        <f>IF('Your debts'!$F$13="",0,MIN(AQ181,MAX(0,MAX(0,'Your debts'!$C$19-(G181+L181+Q181+V181+AA181+AF181+AK181+AP181+AU181+AZ181))-(IF(AND('Your debts'!$F$6&lt;&gt;"",'Your debts'!$F$13&lt;&gt;"",'Your debts'!$F$6&lt;'Your debts'!$F$13),H181,0)+IF(AND('Your debts'!$F$7&lt;&gt;"",'Your debts'!$F$13&lt;&gt;"",'Your debts'!$F$7&lt;'Your debts'!$F$13),M181,0)+IF(AND('Your debts'!$F$8&lt;&gt;"",'Your debts'!$F$13&lt;&gt;"",'Your debts'!$F$8&lt;'Your debts'!$F$13),R181,0)+IF(AND('Your debts'!$F$9&lt;&gt;"",'Your debts'!$F$13&lt;&gt;"",'Your debts'!$F$9&lt;'Your debts'!$F$13),W181,0)+IF(AND('Your debts'!$F$10&lt;&gt;"",'Your debts'!$F$13&lt;&gt;"",'Your debts'!$F$10&lt;'Your debts'!$F$13),AB181,0)+IF(AND('Your debts'!$F$11&lt;&gt;"",'Your debts'!$F$13&lt;&gt;"",'Your debts'!$F$11&lt;'Your debts'!$F$13),AG181,0)+IF(AND('Your debts'!$F$12&lt;&gt;"",'Your debts'!$F$13&lt;&gt;"",'Your debts'!$F$12&lt;'Your debts'!$F$13),AL181,0)+IF(AND('Your debts'!$F$14&lt;&gt;"",'Your debts'!$F$13&lt;&gt;"",'Your debts'!$F$14&lt;'Your debts'!$F$13),AV181,0)+IF(AND('Your debts'!$F$15&lt;&gt;"",'Your debts'!$F$13&lt;&gt;"",'Your debts'!$F$15&lt;'Your debts'!$F$13),BA181,0)))))</f>
        <v/>
      </c>
      <c r="AS181" s="33">
        <f>AQ181-AR181</f>
        <v/>
      </c>
      <c r="AT181" s="33">
        <f>IF(AX180&lt;=0,0,ROUND(AX180*(1+'Your debts'!$D$14/1200),2))</f>
        <v/>
      </c>
      <c r="AU181" s="33">
        <f>IF(AT181&lt;=0,0,MIN('Your debts'!$E$14,AT181))</f>
        <v/>
      </c>
      <c r="AV181" s="33">
        <f>AT181-AU181</f>
        <v/>
      </c>
      <c r="AW181" s="33">
        <f>IF('Your debts'!$F$14="",0,MIN(AV181,MAX(0,MAX(0,'Your debts'!$C$19-(G181+L181+Q181+V181+AA181+AF181+AK181+AP181+AU181+AZ181))-(IF(AND('Your debts'!$F$6&lt;&gt;"",'Your debts'!$F$14&lt;&gt;"",'Your debts'!$F$6&lt;'Your debts'!$F$14),H181,0)+IF(AND('Your debts'!$F$7&lt;&gt;"",'Your debts'!$F$14&lt;&gt;"",'Your debts'!$F$7&lt;'Your debts'!$F$14),M181,0)+IF(AND('Your debts'!$F$8&lt;&gt;"",'Your debts'!$F$14&lt;&gt;"",'Your debts'!$F$8&lt;'Your debts'!$F$14),R181,0)+IF(AND('Your debts'!$F$9&lt;&gt;"",'Your debts'!$F$14&lt;&gt;"",'Your debts'!$F$9&lt;'Your debts'!$F$14),W181,0)+IF(AND('Your debts'!$F$10&lt;&gt;"",'Your debts'!$F$14&lt;&gt;"",'Your debts'!$F$10&lt;'Your debts'!$F$14),AB181,0)+IF(AND('Your debts'!$F$11&lt;&gt;"",'Your debts'!$F$14&lt;&gt;"",'Your debts'!$F$11&lt;'Your debts'!$F$14),AG181,0)+IF(AND('Your debts'!$F$12&lt;&gt;"",'Your debts'!$F$14&lt;&gt;"",'Your debts'!$F$12&lt;'Your debts'!$F$14),AL181,0)+IF(AND('Your debts'!$F$13&lt;&gt;"",'Your debts'!$F$14&lt;&gt;"",'Your debts'!$F$13&lt;'Your debts'!$F$14),AQ181,0)+IF(AND('Your debts'!$F$15&lt;&gt;"",'Your debts'!$F$14&lt;&gt;"",'Your debts'!$F$15&lt;'Your debts'!$F$14),BA181,0)))))</f>
        <v/>
      </c>
      <c r="AX181" s="33">
        <f>AV181-AW181</f>
        <v/>
      </c>
      <c r="AY181" s="33">
        <f>IF(BC180&lt;=0,0,ROUND(BC180*(1+'Your debts'!$D$15/1200),2))</f>
        <v/>
      </c>
      <c r="AZ181" s="33">
        <f>IF(AY181&lt;=0,0,MIN('Your debts'!$E$15,AY181))</f>
        <v/>
      </c>
      <c r="BA181" s="33">
        <f>AY181-AZ181</f>
        <v/>
      </c>
      <c r="BB181" s="33">
        <f>IF('Your debts'!$F$15="",0,MIN(BA181,MAX(0,MAX(0,'Your debts'!$C$19-(G181+L181+Q181+V181+AA181+AF181+AK181+AP181+AU181+AZ181))-(IF(AND('Your debts'!$F$6&lt;&gt;"",'Your debts'!$F$15&lt;&gt;"",'Your debts'!$F$6&lt;'Your debts'!$F$15),H181,0)+IF(AND('Your debts'!$F$7&lt;&gt;"",'Your debts'!$F$15&lt;&gt;"",'Your debts'!$F$7&lt;'Your debts'!$F$15),M181,0)+IF(AND('Your debts'!$F$8&lt;&gt;"",'Your debts'!$F$15&lt;&gt;"",'Your debts'!$F$8&lt;'Your debts'!$F$15),R181,0)+IF(AND('Your debts'!$F$9&lt;&gt;"",'Your debts'!$F$15&lt;&gt;"",'Your debts'!$F$9&lt;'Your debts'!$F$15),W181,0)+IF(AND('Your debts'!$F$10&lt;&gt;"",'Your debts'!$F$15&lt;&gt;"",'Your debts'!$F$10&lt;'Your debts'!$F$15),AB181,0)+IF(AND('Your debts'!$F$11&lt;&gt;"",'Your debts'!$F$15&lt;&gt;"",'Your debts'!$F$11&lt;'Your debts'!$F$15),AG181,0)+IF(AND('Your debts'!$F$12&lt;&gt;"",'Your debts'!$F$15&lt;&gt;"",'Your debts'!$F$12&lt;'Your debts'!$F$15),AL181,0)+IF(AND('Your debts'!$F$13&lt;&gt;"",'Your debts'!$F$15&lt;&gt;"",'Your debts'!$F$13&lt;'Your debts'!$F$15),AQ181,0)+IF(AND('Your debts'!$F$14&lt;&gt;"",'Your debts'!$F$15&lt;&gt;"",'Your debts'!$F$14&lt;'Your debts'!$F$15),AV181,0)))))</f>
        <v/>
      </c>
      <c r="BC181" s="33">
        <f>BA181-BB181</f>
        <v/>
      </c>
    </row>
    <row r="182">
      <c r="A182" s="30" t="n">
        <v>167</v>
      </c>
      <c r="B182" s="31">
        <f>EDATE($B$15,167)</f>
        <v/>
      </c>
      <c r="C182" s="32">
        <f>IF(J181&lt;=0,0,F182-J181)+IF(O181&lt;=0,0,K182-O181)+IF(T181&lt;=0,0,P182-T181)+IF(Y181&lt;=0,0,U182-Y181)+IF(AD181&lt;=0,0,Z182-AD181)+IF(AI181&lt;=0,0,AE182-AI181)+IF(AN181&lt;=0,0,AJ182-AN181)+IF(AS181&lt;=0,0,AO182-AS181)+IF(AX181&lt;=0,0,AT182-AX181)+IF(BC181&lt;=0,0,AY182-BC181)</f>
        <v/>
      </c>
      <c r="D182" s="32">
        <f>G182+I182+L182+N182+Q182+S182+V182+X182+AA182+AC182+AF182+AH182+AK182+AM182+AP182+AR182+AU182+AW182+AZ182+BB182</f>
        <v/>
      </c>
      <c r="E182" s="32">
        <f>J182+O182+T182+Y182+AD182+AI182+AN182+AS182+AX182+BC182</f>
        <v/>
      </c>
      <c r="F182" s="33">
        <f>IF(J181&lt;=0,0,ROUND(J181*(1+'Your debts'!$D$6/1200),2))</f>
        <v/>
      </c>
      <c r="G182" s="33">
        <f>IF(F182&lt;=0,0,MIN('Your debts'!$E$6,F182))</f>
        <v/>
      </c>
      <c r="H182" s="33">
        <f>F182-G182</f>
        <v/>
      </c>
      <c r="I182" s="33">
        <f>IF('Your debts'!$F$6="",0,MIN(H182,MAX(0,MAX(0,'Your debts'!$C$19-(G182+L182+Q182+V182+AA182+AF182+AK182+AP182+AU182+AZ182))-(IF(AND('Your debts'!$F$7&lt;&gt;"",'Your debts'!$F$6&lt;&gt;"",'Your debts'!$F$7&lt;'Your debts'!$F$6),M182,0)+IF(AND('Your debts'!$F$8&lt;&gt;"",'Your debts'!$F$6&lt;&gt;"",'Your debts'!$F$8&lt;'Your debts'!$F$6),R182,0)+IF(AND('Your debts'!$F$9&lt;&gt;"",'Your debts'!$F$6&lt;&gt;"",'Your debts'!$F$9&lt;'Your debts'!$F$6),W182,0)+IF(AND('Your debts'!$F$10&lt;&gt;"",'Your debts'!$F$6&lt;&gt;"",'Your debts'!$F$10&lt;'Your debts'!$F$6),AB182,0)+IF(AND('Your debts'!$F$11&lt;&gt;"",'Your debts'!$F$6&lt;&gt;"",'Your debts'!$F$11&lt;'Your debts'!$F$6),AG182,0)+IF(AND('Your debts'!$F$12&lt;&gt;"",'Your debts'!$F$6&lt;&gt;"",'Your debts'!$F$12&lt;'Your debts'!$F$6),AL182,0)+IF(AND('Your debts'!$F$13&lt;&gt;"",'Your debts'!$F$6&lt;&gt;"",'Your debts'!$F$13&lt;'Your debts'!$F$6),AQ182,0)+IF(AND('Your debts'!$F$14&lt;&gt;"",'Your debts'!$F$6&lt;&gt;"",'Your debts'!$F$14&lt;'Your debts'!$F$6),AV182,0)+IF(AND('Your debts'!$F$15&lt;&gt;"",'Your debts'!$F$6&lt;&gt;"",'Your debts'!$F$15&lt;'Your debts'!$F$6),BA182,0)))))</f>
        <v/>
      </c>
      <c r="J182" s="33">
        <f>H182-I182</f>
        <v/>
      </c>
      <c r="K182" s="33">
        <f>IF(O181&lt;=0,0,ROUND(O181*(1+'Your debts'!$D$7/1200),2))</f>
        <v/>
      </c>
      <c r="L182" s="33">
        <f>IF(K182&lt;=0,0,MIN('Your debts'!$E$7,K182))</f>
        <v/>
      </c>
      <c r="M182" s="33">
        <f>K182-L182</f>
        <v/>
      </c>
      <c r="N182" s="33">
        <f>IF('Your debts'!$F$7="",0,MIN(M182,MAX(0,MAX(0,'Your debts'!$C$19-(G182+L182+Q182+V182+AA182+AF182+AK182+AP182+AU182+AZ182))-(IF(AND('Your debts'!$F$6&lt;&gt;"",'Your debts'!$F$7&lt;&gt;"",'Your debts'!$F$6&lt;'Your debts'!$F$7),H182,0)+IF(AND('Your debts'!$F$8&lt;&gt;"",'Your debts'!$F$7&lt;&gt;"",'Your debts'!$F$8&lt;'Your debts'!$F$7),R182,0)+IF(AND('Your debts'!$F$9&lt;&gt;"",'Your debts'!$F$7&lt;&gt;"",'Your debts'!$F$9&lt;'Your debts'!$F$7),W182,0)+IF(AND('Your debts'!$F$10&lt;&gt;"",'Your debts'!$F$7&lt;&gt;"",'Your debts'!$F$10&lt;'Your debts'!$F$7),AB182,0)+IF(AND('Your debts'!$F$11&lt;&gt;"",'Your debts'!$F$7&lt;&gt;"",'Your debts'!$F$11&lt;'Your debts'!$F$7),AG182,0)+IF(AND('Your debts'!$F$12&lt;&gt;"",'Your debts'!$F$7&lt;&gt;"",'Your debts'!$F$12&lt;'Your debts'!$F$7),AL182,0)+IF(AND('Your debts'!$F$13&lt;&gt;"",'Your debts'!$F$7&lt;&gt;"",'Your debts'!$F$13&lt;'Your debts'!$F$7),AQ182,0)+IF(AND('Your debts'!$F$14&lt;&gt;"",'Your debts'!$F$7&lt;&gt;"",'Your debts'!$F$14&lt;'Your debts'!$F$7),AV182,0)+IF(AND('Your debts'!$F$15&lt;&gt;"",'Your debts'!$F$7&lt;&gt;"",'Your debts'!$F$15&lt;'Your debts'!$F$7),BA182,0)))))</f>
        <v/>
      </c>
      <c r="O182" s="33">
        <f>M182-N182</f>
        <v/>
      </c>
      <c r="P182" s="33">
        <f>IF(T181&lt;=0,0,ROUND(T181*(1+'Your debts'!$D$8/1200),2))</f>
        <v/>
      </c>
      <c r="Q182" s="33">
        <f>IF(P182&lt;=0,0,MIN('Your debts'!$E$8,P182))</f>
        <v/>
      </c>
      <c r="R182" s="33">
        <f>P182-Q182</f>
        <v/>
      </c>
      <c r="S182" s="33">
        <f>IF('Your debts'!$F$8="",0,MIN(R182,MAX(0,MAX(0,'Your debts'!$C$19-(G182+L182+Q182+V182+AA182+AF182+AK182+AP182+AU182+AZ182))-(IF(AND('Your debts'!$F$6&lt;&gt;"",'Your debts'!$F$8&lt;&gt;"",'Your debts'!$F$6&lt;'Your debts'!$F$8),H182,0)+IF(AND('Your debts'!$F$7&lt;&gt;"",'Your debts'!$F$8&lt;&gt;"",'Your debts'!$F$7&lt;'Your debts'!$F$8),M182,0)+IF(AND('Your debts'!$F$9&lt;&gt;"",'Your debts'!$F$8&lt;&gt;"",'Your debts'!$F$9&lt;'Your debts'!$F$8),W182,0)+IF(AND('Your debts'!$F$10&lt;&gt;"",'Your debts'!$F$8&lt;&gt;"",'Your debts'!$F$10&lt;'Your debts'!$F$8),AB182,0)+IF(AND('Your debts'!$F$11&lt;&gt;"",'Your debts'!$F$8&lt;&gt;"",'Your debts'!$F$11&lt;'Your debts'!$F$8),AG182,0)+IF(AND('Your debts'!$F$12&lt;&gt;"",'Your debts'!$F$8&lt;&gt;"",'Your debts'!$F$12&lt;'Your debts'!$F$8),AL182,0)+IF(AND('Your debts'!$F$13&lt;&gt;"",'Your debts'!$F$8&lt;&gt;"",'Your debts'!$F$13&lt;'Your debts'!$F$8),AQ182,0)+IF(AND('Your debts'!$F$14&lt;&gt;"",'Your debts'!$F$8&lt;&gt;"",'Your debts'!$F$14&lt;'Your debts'!$F$8),AV182,0)+IF(AND('Your debts'!$F$15&lt;&gt;"",'Your debts'!$F$8&lt;&gt;"",'Your debts'!$F$15&lt;'Your debts'!$F$8),BA182,0)))))</f>
        <v/>
      </c>
      <c r="T182" s="33">
        <f>R182-S182</f>
        <v/>
      </c>
      <c r="U182" s="33">
        <f>IF(Y181&lt;=0,0,ROUND(Y181*(1+'Your debts'!$D$9/1200),2))</f>
        <v/>
      </c>
      <c r="V182" s="33">
        <f>IF(U182&lt;=0,0,MIN('Your debts'!$E$9,U182))</f>
        <v/>
      </c>
      <c r="W182" s="33">
        <f>U182-V182</f>
        <v/>
      </c>
      <c r="X182" s="33">
        <f>IF('Your debts'!$F$9="",0,MIN(W182,MAX(0,MAX(0,'Your debts'!$C$19-(G182+L182+Q182+V182+AA182+AF182+AK182+AP182+AU182+AZ182))-(IF(AND('Your debts'!$F$6&lt;&gt;"",'Your debts'!$F$9&lt;&gt;"",'Your debts'!$F$6&lt;'Your debts'!$F$9),H182,0)+IF(AND('Your debts'!$F$7&lt;&gt;"",'Your debts'!$F$9&lt;&gt;"",'Your debts'!$F$7&lt;'Your debts'!$F$9),M182,0)+IF(AND('Your debts'!$F$8&lt;&gt;"",'Your debts'!$F$9&lt;&gt;"",'Your debts'!$F$8&lt;'Your debts'!$F$9),R182,0)+IF(AND('Your debts'!$F$10&lt;&gt;"",'Your debts'!$F$9&lt;&gt;"",'Your debts'!$F$10&lt;'Your debts'!$F$9),AB182,0)+IF(AND('Your debts'!$F$11&lt;&gt;"",'Your debts'!$F$9&lt;&gt;"",'Your debts'!$F$11&lt;'Your debts'!$F$9),AG182,0)+IF(AND('Your debts'!$F$12&lt;&gt;"",'Your debts'!$F$9&lt;&gt;"",'Your debts'!$F$12&lt;'Your debts'!$F$9),AL182,0)+IF(AND('Your debts'!$F$13&lt;&gt;"",'Your debts'!$F$9&lt;&gt;"",'Your debts'!$F$13&lt;'Your debts'!$F$9),AQ182,0)+IF(AND('Your debts'!$F$14&lt;&gt;"",'Your debts'!$F$9&lt;&gt;"",'Your debts'!$F$14&lt;'Your debts'!$F$9),AV182,0)+IF(AND('Your debts'!$F$15&lt;&gt;"",'Your debts'!$F$9&lt;&gt;"",'Your debts'!$F$15&lt;'Your debts'!$F$9),BA182,0)))))</f>
        <v/>
      </c>
      <c r="Y182" s="33">
        <f>W182-X182</f>
        <v/>
      </c>
      <c r="Z182" s="33">
        <f>IF(AD181&lt;=0,0,ROUND(AD181*(1+'Your debts'!$D$10/1200),2))</f>
        <v/>
      </c>
      <c r="AA182" s="33">
        <f>IF(Z182&lt;=0,0,MIN('Your debts'!$E$10,Z182))</f>
        <v/>
      </c>
      <c r="AB182" s="33">
        <f>Z182-AA182</f>
        <v/>
      </c>
      <c r="AC182" s="33">
        <f>IF('Your debts'!$F$10="",0,MIN(AB182,MAX(0,MAX(0,'Your debts'!$C$19-(G182+L182+Q182+V182+AA182+AF182+AK182+AP182+AU182+AZ182))-(IF(AND('Your debts'!$F$6&lt;&gt;"",'Your debts'!$F$10&lt;&gt;"",'Your debts'!$F$6&lt;'Your debts'!$F$10),H182,0)+IF(AND('Your debts'!$F$7&lt;&gt;"",'Your debts'!$F$10&lt;&gt;"",'Your debts'!$F$7&lt;'Your debts'!$F$10),M182,0)+IF(AND('Your debts'!$F$8&lt;&gt;"",'Your debts'!$F$10&lt;&gt;"",'Your debts'!$F$8&lt;'Your debts'!$F$10),R182,0)+IF(AND('Your debts'!$F$9&lt;&gt;"",'Your debts'!$F$10&lt;&gt;"",'Your debts'!$F$9&lt;'Your debts'!$F$10),W182,0)+IF(AND('Your debts'!$F$11&lt;&gt;"",'Your debts'!$F$10&lt;&gt;"",'Your debts'!$F$11&lt;'Your debts'!$F$10),AG182,0)+IF(AND('Your debts'!$F$12&lt;&gt;"",'Your debts'!$F$10&lt;&gt;"",'Your debts'!$F$12&lt;'Your debts'!$F$10),AL182,0)+IF(AND('Your debts'!$F$13&lt;&gt;"",'Your debts'!$F$10&lt;&gt;"",'Your debts'!$F$13&lt;'Your debts'!$F$10),AQ182,0)+IF(AND('Your debts'!$F$14&lt;&gt;"",'Your debts'!$F$10&lt;&gt;"",'Your debts'!$F$14&lt;'Your debts'!$F$10),AV182,0)+IF(AND('Your debts'!$F$15&lt;&gt;"",'Your debts'!$F$10&lt;&gt;"",'Your debts'!$F$15&lt;'Your debts'!$F$10),BA182,0)))))</f>
        <v/>
      </c>
      <c r="AD182" s="33">
        <f>AB182-AC182</f>
        <v/>
      </c>
      <c r="AE182" s="33">
        <f>IF(AI181&lt;=0,0,ROUND(AI181*(1+'Your debts'!$D$11/1200),2))</f>
        <v/>
      </c>
      <c r="AF182" s="33">
        <f>IF(AE182&lt;=0,0,MIN('Your debts'!$E$11,AE182))</f>
        <v/>
      </c>
      <c r="AG182" s="33">
        <f>AE182-AF182</f>
        <v/>
      </c>
      <c r="AH182" s="33">
        <f>IF('Your debts'!$F$11="",0,MIN(AG182,MAX(0,MAX(0,'Your debts'!$C$19-(G182+L182+Q182+V182+AA182+AF182+AK182+AP182+AU182+AZ182))-(IF(AND('Your debts'!$F$6&lt;&gt;"",'Your debts'!$F$11&lt;&gt;"",'Your debts'!$F$6&lt;'Your debts'!$F$11),H182,0)+IF(AND('Your debts'!$F$7&lt;&gt;"",'Your debts'!$F$11&lt;&gt;"",'Your debts'!$F$7&lt;'Your debts'!$F$11),M182,0)+IF(AND('Your debts'!$F$8&lt;&gt;"",'Your debts'!$F$11&lt;&gt;"",'Your debts'!$F$8&lt;'Your debts'!$F$11),R182,0)+IF(AND('Your debts'!$F$9&lt;&gt;"",'Your debts'!$F$11&lt;&gt;"",'Your debts'!$F$9&lt;'Your debts'!$F$11),W182,0)+IF(AND('Your debts'!$F$10&lt;&gt;"",'Your debts'!$F$11&lt;&gt;"",'Your debts'!$F$10&lt;'Your debts'!$F$11),AB182,0)+IF(AND('Your debts'!$F$12&lt;&gt;"",'Your debts'!$F$11&lt;&gt;"",'Your debts'!$F$12&lt;'Your debts'!$F$11),AL182,0)+IF(AND('Your debts'!$F$13&lt;&gt;"",'Your debts'!$F$11&lt;&gt;"",'Your debts'!$F$13&lt;'Your debts'!$F$11),AQ182,0)+IF(AND('Your debts'!$F$14&lt;&gt;"",'Your debts'!$F$11&lt;&gt;"",'Your debts'!$F$14&lt;'Your debts'!$F$11),AV182,0)+IF(AND('Your debts'!$F$15&lt;&gt;"",'Your debts'!$F$11&lt;&gt;"",'Your debts'!$F$15&lt;'Your debts'!$F$11),BA182,0)))))</f>
        <v/>
      </c>
      <c r="AI182" s="33">
        <f>AG182-AH182</f>
        <v/>
      </c>
      <c r="AJ182" s="33">
        <f>IF(AN181&lt;=0,0,ROUND(AN181*(1+'Your debts'!$D$12/1200),2))</f>
        <v/>
      </c>
      <c r="AK182" s="33">
        <f>IF(AJ182&lt;=0,0,MIN('Your debts'!$E$12,AJ182))</f>
        <v/>
      </c>
      <c r="AL182" s="33">
        <f>AJ182-AK182</f>
        <v/>
      </c>
      <c r="AM182" s="33">
        <f>IF('Your debts'!$F$12="",0,MIN(AL182,MAX(0,MAX(0,'Your debts'!$C$19-(G182+L182+Q182+V182+AA182+AF182+AK182+AP182+AU182+AZ182))-(IF(AND('Your debts'!$F$6&lt;&gt;"",'Your debts'!$F$12&lt;&gt;"",'Your debts'!$F$6&lt;'Your debts'!$F$12),H182,0)+IF(AND('Your debts'!$F$7&lt;&gt;"",'Your debts'!$F$12&lt;&gt;"",'Your debts'!$F$7&lt;'Your debts'!$F$12),M182,0)+IF(AND('Your debts'!$F$8&lt;&gt;"",'Your debts'!$F$12&lt;&gt;"",'Your debts'!$F$8&lt;'Your debts'!$F$12),R182,0)+IF(AND('Your debts'!$F$9&lt;&gt;"",'Your debts'!$F$12&lt;&gt;"",'Your debts'!$F$9&lt;'Your debts'!$F$12),W182,0)+IF(AND('Your debts'!$F$10&lt;&gt;"",'Your debts'!$F$12&lt;&gt;"",'Your debts'!$F$10&lt;'Your debts'!$F$12),AB182,0)+IF(AND('Your debts'!$F$11&lt;&gt;"",'Your debts'!$F$12&lt;&gt;"",'Your debts'!$F$11&lt;'Your debts'!$F$12),AG182,0)+IF(AND('Your debts'!$F$13&lt;&gt;"",'Your debts'!$F$12&lt;&gt;"",'Your debts'!$F$13&lt;'Your debts'!$F$12),AQ182,0)+IF(AND('Your debts'!$F$14&lt;&gt;"",'Your debts'!$F$12&lt;&gt;"",'Your debts'!$F$14&lt;'Your debts'!$F$12),AV182,0)+IF(AND('Your debts'!$F$15&lt;&gt;"",'Your debts'!$F$12&lt;&gt;"",'Your debts'!$F$15&lt;'Your debts'!$F$12),BA182,0)))))</f>
        <v/>
      </c>
      <c r="AN182" s="33">
        <f>AL182-AM182</f>
        <v/>
      </c>
      <c r="AO182" s="33">
        <f>IF(AS181&lt;=0,0,ROUND(AS181*(1+'Your debts'!$D$13/1200),2))</f>
        <v/>
      </c>
      <c r="AP182" s="33">
        <f>IF(AO182&lt;=0,0,MIN('Your debts'!$E$13,AO182))</f>
        <v/>
      </c>
      <c r="AQ182" s="33">
        <f>AO182-AP182</f>
        <v/>
      </c>
      <c r="AR182" s="33">
        <f>IF('Your debts'!$F$13="",0,MIN(AQ182,MAX(0,MAX(0,'Your debts'!$C$19-(G182+L182+Q182+V182+AA182+AF182+AK182+AP182+AU182+AZ182))-(IF(AND('Your debts'!$F$6&lt;&gt;"",'Your debts'!$F$13&lt;&gt;"",'Your debts'!$F$6&lt;'Your debts'!$F$13),H182,0)+IF(AND('Your debts'!$F$7&lt;&gt;"",'Your debts'!$F$13&lt;&gt;"",'Your debts'!$F$7&lt;'Your debts'!$F$13),M182,0)+IF(AND('Your debts'!$F$8&lt;&gt;"",'Your debts'!$F$13&lt;&gt;"",'Your debts'!$F$8&lt;'Your debts'!$F$13),R182,0)+IF(AND('Your debts'!$F$9&lt;&gt;"",'Your debts'!$F$13&lt;&gt;"",'Your debts'!$F$9&lt;'Your debts'!$F$13),W182,0)+IF(AND('Your debts'!$F$10&lt;&gt;"",'Your debts'!$F$13&lt;&gt;"",'Your debts'!$F$10&lt;'Your debts'!$F$13),AB182,0)+IF(AND('Your debts'!$F$11&lt;&gt;"",'Your debts'!$F$13&lt;&gt;"",'Your debts'!$F$11&lt;'Your debts'!$F$13),AG182,0)+IF(AND('Your debts'!$F$12&lt;&gt;"",'Your debts'!$F$13&lt;&gt;"",'Your debts'!$F$12&lt;'Your debts'!$F$13),AL182,0)+IF(AND('Your debts'!$F$14&lt;&gt;"",'Your debts'!$F$13&lt;&gt;"",'Your debts'!$F$14&lt;'Your debts'!$F$13),AV182,0)+IF(AND('Your debts'!$F$15&lt;&gt;"",'Your debts'!$F$13&lt;&gt;"",'Your debts'!$F$15&lt;'Your debts'!$F$13),BA182,0)))))</f>
        <v/>
      </c>
      <c r="AS182" s="33">
        <f>AQ182-AR182</f>
        <v/>
      </c>
      <c r="AT182" s="33">
        <f>IF(AX181&lt;=0,0,ROUND(AX181*(1+'Your debts'!$D$14/1200),2))</f>
        <v/>
      </c>
      <c r="AU182" s="33">
        <f>IF(AT182&lt;=0,0,MIN('Your debts'!$E$14,AT182))</f>
        <v/>
      </c>
      <c r="AV182" s="33">
        <f>AT182-AU182</f>
        <v/>
      </c>
      <c r="AW182" s="33">
        <f>IF('Your debts'!$F$14="",0,MIN(AV182,MAX(0,MAX(0,'Your debts'!$C$19-(G182+L182+Q182+V182+AA182+AF182+AK182+AP182+AU182+AZ182))-(IF(AND('Your debts'!$F$6&lt;&gt;"",'Your debts'!$F$14&lt;&gt;"",'Your debts'!$F$6&lt;'Your debts'!$F$14),H182,0)+IF(AND('Your debts'!$F$7&lt;&gt;"",'Your debts'!$F$14&lt;&gt;"",'Your debts'!$F$7&lt;'Your debts'!$F$14),M182,0)+IF(AND('Your debts'!$F$8&lt;&gt;"",'Your debts'!$F$14&lt;&gt;"",'Your debts'!$F$8&lt;'Your debts'!$F$14),R182,0)+IF(AND('Your debts'!$F$9&lt;&gt;"",'Your debts'!$F$14&lt;&gt;"",'Your debts'!$F$9&lt;'Your debts'!$F$14),W182,0)+IF(AND('Your debts'!$F$10&lt;&gt;"",'Your debts'!$F$14&lt;&gt;"",'Your debts'!$F$10&lt;'Your debts'!$F$14),AB182,0)+IF(AND('Your debts'!$F$11&lt;&gt;"",'Your debts'!$F$14&lt;&gt;"",'Your debts'!$F$11&lt;'Your debts'!$F$14),AG182,0)+IF(AND('Your debts'!$F$12&lt;&gt;"",'Your debts'!$F$14&lt;&gt;"",'Your debts'!$F$12&lt;'Your debts'!$F$14),AL182,0)+IF(AND('Your debts'!$F$13&lt;&gt;"",'Your debts'!$F$14&lt;&gt;"",'Your debts'!$F$13&lt;'Your debts'!$F$14),AQ182,0)+IF(AND('Your debts'!$F$15&lt;&gt;"",'Your debts'!$F$14&lt;&gt;"",'Your debts'!$F$15&lt;'Your debts'!$F$14),BA182,0)))))</f>
        <v/>
      </c>
      <c r="AX182" s="33">
        <f>AV182-AW182</f>
        <v/>
      </c>
      <c r="AY182" s="33">
        <f>IF(BC181&lt;=0,0,ROUND(BC181*(1+'Your debts'!$D$15/1200),2))</f>
        <v/>
      </c>
      <c r="AZ182" s="33">
        <f>IF(AY182&lt;=0,0,MIN('Your debts'!$E$15,AY182))</f>
        <v/>
      </c>
      <c r="BA182" s="33">
        <f>AY182-AZ182</f>
        <v/>
      </c>
      <c r="BB182" s="33">
        <f>IF('Your debts'!$F$15="",0,MIN(BA182,MAX(0,MAX(0,'Your debts'!$C$19-(G182+L182+Q182+V182+AA182+AF182+AK182+AP182+AU182+AZ182))-(IF(AND('Your debts'!$F$6&lt;&gt;"",'Your debts'!$F$15&lt;&gt;"",'Your debts'!$F$6&lt;'Your debts'!$F$15),H182,0)+IF(AND('Your debts'!$F$7&lt;&gt;"",'Your debts'!$F$15&lt;&gt;"",'Your debts'!$F$7&lt;'Your debts'!$F$15),M182,0)+IF(AND('Your debts'!$F$8&lt;&gt;"",'Your debts'!$F$15&lt;&gt;"",'Your debts'!$F$8&lt;'Your debts'!$F$15),R182,0)+IF(AND('Your debts'!$F$9&lt;&gt;"",'Your debts'!$F$15&lt;&gt;"",'Your debts'!$F$9&lt;'Your debts'!$F$15),W182,0)+IF(AND('Your debts'!$F$10&lt;&gt;"",'Your debts'!$F$15&lt;&gt;"",'Your debts'!$F$10&lt;'Your debts'!$F$15),AB182,0)+IF(AND('Your debts'!$F$11&lt;&gt;"",'Your debts'!$F$15&lt;&gt;"",'Your debts'!$F$11&lt;'Your debts'!$F$15),AG182,0)+IF(AND('Your debts'!$F$12&lt;&gt;"",'Your debts'!$F$15&lt;&gt;"",'Your debts'!$F$12&lt;'Your debts'!$F$15),AL182,0)+IF(AND('Your debts'!$F$13&lt;&gt;"",'Your debts'!$F$15&lt;&gt;"",'Your debts'!$F$13&lt;'Your debts'!$F$15),AQ182,0)+IF(AND('Your debts'!$F$14&lt;&gt;"",'Your debts'!$F$15&lt;&gt;"",'Your debts'!$F$14&lt;'Your debts'!$F$15),AV182,0)))))</f>
        <v/>
      </c>
      <c r="BC182" s="33">
        <f>BA182-BB182</f>
        <v/>
      </c>
    </row>
    <row r="183">
      <c r="A183" s="30" t="n">
        <v>168</v>
      </c>
      <c r="B183" s="31">
        <f>EDATE($B$15,168)</f>
        <v/>
      </c>
      <c r="C183" s="32">
        <f>IF(J182&lt;=0,0,F183-J182)+IF(O182&lt;=0,0,K183-O182)+IF(T182&lt;=0,0,P183-T182)+IF(Y182&lt;=0,0,U183-Y182)+IF(AD182&lt;=0,0,Z183-AD182)+IF(AI182&lt;=0,0,AE183-AI182)+IF(AN182&lt;=0,0,AJ183-AN182)+IF(AS182&lt;=0,0,AO183-AS182)+IF(AX182&lt;=0,0,AT183-AX182)+IF(BC182&lt;=0,0,AY183-BC182)</f>
        <v/>
      </c>
      <c r="D183" s="32">
        <f>G183+I183+L183+N183+Q183+S183+V183+X183+AA183+AC183+AF183+AH183+AK183+AM183+AP183+AR183+AU183+AW183+AZ183+BB183</f>
        <v/>
      </c>
      <c r="E183" s="32">
        <f>J183+O183+T183+Y183+AD183+AI183+AN183+AS183+AX183+BC183</f>
        <v/>
      </c>
      <c r="F183" s="33">
        <f>IF(J182&lt;=0,0,ROUND(J182*(1+'Your debts'!$D$6/1200),2))</f>
        <v/>
      </c>
      <c r="G183" s="33">
        <f>IF(F183&lt;=0,0,MIN('Your debts'!$E$6,F183))</f>
        <v/>
      </c>
      <c r="H183" s="33">
        <f>F183-G183</f>
        <v/>
      </c>
      <c r="I183" s="33">
        <f>IF('Your debts'!$F$6="",0,MIN(H183,MAX(0,MAX(0,'Your debts'!$C$19-(G183+L183+Q183+V183+AA183+AF183+AK183+AP183+AU183+AZ183))-(IF(AND('Your debts'!$F$7&lt;&gt;"",'Your debts'!$F$6&lt;&gt;"",'Your debts'!$F$7&lt;'Your debts'!$F$6),M183,0)+IF(AND('Your debts'!$F$8&lt;&gt;"",'Your debts'!$F$6&lt;&gt;"",'Your debts'!$F$8&lt;'Your debts'!$F$6),R183,0)+IF(AND('Your debts'!$F$9&lt;&gt;"",'Your debts'!$F$6&lt;&gt;"",'Your debts'!$F$9&lt;'Your debts'!$F$6),W183,0)+IF(AND('Your debts'!$F$10&lt;&gt;"",'Your debts'!$F$6&lt;&gt;"",'Your debts'!$F$10&lt;'Your debts'!$F$6),AB183,0)+IF(AND('Your debts'!$F$11&lt;&gt;"",'Your debts'!$F$6&lt;&gt;"",'Your debts'!$F$11&lt;'Your debts'!$F$6),AG183,0)+IF(AND('Your debts'!$F$12&lt;&gt;"",'Your debts'!$F$6&lt;&gt;"",'Your debts'!$F$12&lt;'Your debts'!$F$6),AL183,0)+IF(AND('Your debts'!$F$13&lt;&gt;"",'Your debts'!$F$6&lt;&gt;"",'Your debts'!$F$13&lt;'Your debts'!$F$6),AQ183,0)+IF(AND('Your debts'!$F$14&lt;&gt;"",'Your debts'!$F$6&lt;&gt;"",'Your debts'!$F$14&lt;'Your debts'!$F$6),AV183,0)+IF(AND('Your debts'!$F$15&lt;&gt;"",'Your debts'!$F$6&lt;&gt;"",'Your debts'!$F$15&lt;'Your debts'!$F$6),BA183,0)))))</f>
        <v/>
      </c>
      <c r="J183" s="33">
        <f>H183-I183</f>
        <v/>
      </c>
      <c r="K183" s="33">
        <f>IF(O182&lt;=0,0,ROUND(O182*(1+'Your debts'!$D$7/1200),2))</f>
        <v/>
      </c>
      <c r="L183" s="33">
        <f>IF(K183&lt;=0,0,MIN('Your debts'!$E$7,K183))</f>
        <v/>
      </c>
      <c r="M183" s="33">
        <f>K183-L183</f>
        <v/>
      </c>
      <c r="N183" s="33">
        <f>IF('Your debts'!$F$7="",0,MIN(M183,MAX(0,MAX(0,'Your debts'!$C$19-(G183+L183+Q183+V183+AA183+AF183+AK183+AP183+AU183+AZ183))-(IF(AND('Your debts'!$F$6&lt;&gt;"",'Your debts'!$F$7&lt;&gt;"",'Your debts'!$F$6&lt;'Your debts'!$F$7),H183,0)+IF(AND('Your debts'!$F$8&lt;&gt;"",'Your debts'!$F$7&lt;&gt;"",'Your debts'!$F$8&lt;'Your debts'!$F$7),R183,0)+IF(AND('Your debts'!$F$9&lt;&gt;"",'Your debts'!$F$7&lt;&gt;"",'Your debts'!$F$9&lt;'Your debts'!$F$7),W183,0)+IF(AND('Your debts'!$F$10&lt;&gt;"",'Your debts'!$F$7&lt;&gt;"",'Your debts'!$F$10&lt;'Your debts'!$F$7),AB183,0)+IF(AND('Your debts'!$F$11&lt;&gt;"",'Your debts'!$F$7&lt;&gt;"",'Your debts'!$F$11&lt;'Your debts'!$F$7),AG183,0)+IF(AND('Your debts'!$F$12&lt;&gt;"",'Your debts'!$F$7&lt;&gt;"",'Your debts'!$F$12&lt;'Your debts'!$F$7),AL183,0)+IF(AND('Your debts'!$F$13&lt;&gt;"",'Your debts'!$F$7&lt;&gt;"",'Your debts'!$F$13&lt;'Your debts'!$F$7),AQ183,0)+IF(AND('Your debts'!$F$14&lt;&gt;"",'Your debts'!$F$7&lt;&gt;"",'Your debts'!$F$14&lt;'Your debts'!$F$7),AV183,0)+IF(AND('Your debts'!$F$15&lt;&gt;"",'Your debts'!$F$7&lt;&gt;"",'Your debts'!$F$15&lt;'Your debts'!$F$7),BA183,0)))))</f>
        <v/>
      </c>
      <c r="O183" s="33">
        <f>M183-N183</f>
        <v/>
      </c>
      <c r="P183" s="33">
        <f>IF(T182&lt;=0,0,ROUND(T182*(1+'Your debts'!$D$8/1200),2))</f>
        <v/>
      </c>
      <c r="Q183" s="33">
        <f>IF(P183&lt;=0,0,MIN('Your debts'!$E$8,P183))</f>
        <v/>
      </c>
      <c r="R183" s="33">
        <f>P183-Q183</f>
        <v/>
      </c>
      <c r="S183" s="33">
        <f>IF('Your debts'!$F$8="",0,MIN(R183,MAX(0,MAX(0,'Your debts'!$C$19-(G183+L183+Q183+V183+AA183+AF183+AK183+AP183+AU183+AZ183))-(IF(AND('Your debts'!$F$6&lt;&gt;"",'Your debts'!$F$8&lt;&gt;"",'Your debts'!$F$6&lt;'Your debts'!$F$8),H183,0)+IF(AND('Your debts'!$F$7&lt;&gt;"",'Your debts'!$F$8&lt;&gt;"",'Your debts'!$F$7&lt;'Your debts'!$F$8),M183,0)+IF(AND('Your debts'!$F$9&lt;&gt;"",'Your debts'!$F$8&lt;&gt;"",'Your debts'!$F$9&lt;'Your debts'!$F$8),W183,0)+IF(AND('Your debts'!$F$10&lt;&gt;"",'Your debts'!$F$8&lt;&gt;"",'Your debts'!$F$10&lt;'Your debts'!$F$8),AB183,0)+IF(AND('Your debts'!$F$11&lt;&gt;"",'Your debts'!$F$8&lt;&gt;"",'Your debts'!$F$11&lt;'Your debts'!$F$8),AG183,0)+IF(AND('Your debts'!$F$12&lt;&gt;"",'Your debts'!$F$8&lt;&gt;"",'Your debts'!$F$12&lt;'Your debts'!$F$8),AL183,0)+IF(AND('Your debts'!$F$13&lt;&gt;"",'Your debts'!$F$8&lt;&gt;"",'Your debts'!$F$13&lt;'Your debts'!$F$8),AQ183,0)+IF(AND('Your debts'!$F$14&lt;&gt;"",'Your debts'!$F$8&lt;&gt;"",'Your debts'!$F$14&lt;'Your debts'!$F$8),AV183,0)+IF(AND('Your debts'!$F$15&lt;&gt;"",'Your debts'!$F$8&lt;&gt;"",'Your debts'!$F$15&lt;'Your debts'!$F$8),BA183,0)))))</f>
        <v/>
      </c>
      <c r="T183" s="33">
        <f>R183-S183</f>
        <v/>
      </c>
      <c r="U183" s="33">
        <f>IF(Y182&lt;=0,0,ROUND(Y182*(1+'Your debts'!$D$9/1200),2))</f>
        <v/>
      </c>
      <c r="V183" s="33">
        <f>IF(U183&lt;=0,0,MIN('Your debts'!$E$9,U183))</f>
        <v/>
      </c>
      <c r="W183" s="33">
        <f>U183-V183</f>
        <v/>
      </c>
      <c r="X183" s="33">
        <f>IF('Your debts'!$F$9="",0,MIN(W183,MAX(0,MAX(0,'Your debts'!$C$19-(G183+L183+Q183+V183+AA183+AF183+AK183+AP183+AU183+AZ183))-(IF(AND('Your debts'!$F$6&lt;&gt;"",'Your debts'!$F$9&lt;&gt;"",'Your debts'!$F$6&lt;'Your debts'!$F$9),H183,0)+IF(AND('Your debts'!$F$7&lt;&gt;"",'Your debts'!$F$9&lt;&gt;"",'Your debts'!$F$7&lt;'Your debts'!$F$9),M183,0)+IF(AND('Your debts'!$F$8&lt;&gt;"",'Your debts'!$F$9&lt;&gt;"",'Your debts'!$F$8&lt;'Your debts'!$F$9),R183,0)+IF(AND('Your debts'!$F$10&lt;&gt;"",'Your debts'!$F$9&lt;&gt;"",'Your debts'!$F$10&lt;'Your debts'!$F$9),AB183,0)+IF(AND('Your debts'!$F$11&lt;&gt;"",'Your debts'!$F$9&lt;&gt;"",'Your debts'!$F$11&lt;'Your debts'!$F$9),AG183,0)+IF(AND('Your debts'!$F$12&lt;&gt;"",'Your debts'!$F$9&lt;&gt;"",'Your debts'!$F$12&lt;'Your debts'!$F$9),AL183,0)+IF(AND('Your debts'!$F$13&lt;&gt;"",'Your debts'!$F$9&lt;&gt;"",'Your debts'!$F$13&lt;'Your debts'!$F$9),AQ183,0)+IF(AND('Your debts'!$F$14&lt;&gt;"",'Your debts'!$F$9&lt;&gt;"",'Your debts'!$F$14&lt;'Your debts'!$F$9),AV183,0)+IF(AND('Your debts'!$F$15&lt;&gt;"",'Your debts'!$F$9&lt;&gt;"",'Your debts'!$F$15&lt;'Your debts'!$F$9),BA183,0)))))</f>
        <v/>
      </c>
      <c r="Y183" s="33">
        <f>W183-X183</f>
        <v/>
      </c>
      <c r="Z183" s="33">
        <f>IF(AD182&lt;=0,0,ROUND(AD182*(1+'Your debts'!$D$10/1200),2))</f>
        <v/>
      </c>
      <c r="AA183" s="33">
        <f>IF(Z183&lt;=0,0,MIN('Your debts'!$E$10,Z183))</f>
        <v/>
      </c>
      <c r="AB183" s="33">
        <f>Z183-AA183</f>
        <v/>
      </c>
      <c r="AC183" s="33">
        <f>IF('Your debts'!$F$10="",0,MIN(AB183,MAX(0,MAX(0,'Your debts'!$C$19-(G183+L183+Q183+V183+AA183+AF183+AK183+AP183+AU183+AZ183))-(IF(AND('Your debts'!$F$6&lt;&gt;"",'Your debts'!$F$10&lt;&gt;"",'Your debts'!$F$6&lt;'Your debts'!$F$10),H183,0)+IF(AND('Your debts'!$F$7&lt;&gt;"",'Your debts'!$F$10&lt;&gt;"",'Your debts'!$F$7&lt;'Your debts'!$F$10),M183,0)+IF(AND('Your debts'!$F$8&lt;&gt;"",'Your debts'!$F$10&lt;&gt;"",'Your debts'!$F$8&lt;'Your debts'!$F$10),R183,0)+IF(AND('Your debts'!$F$9&lt;&gt;"",'Your debts'!$F$10&lt;&gt;"",'Your debts'!$F$9&lt;'Your debts'!$F$10),W183,0)+IF(AND('Your debts'!$F$11&lt;&gt;"",'Your debts'!$F$10&lt;&gt;"",'Your debts'!$F$11&lt;'Your debts'!$F$10),AG183,0)+IF(AND('Your debts'!$F$12&lt;&gt;"",'Your debts'!$F$10&lt;&gt;"",'Your debts'!$F$12&lt;'Your debts'!$F$10),AL183,0)+IF(AND('Your debts'!$F$13&lt;&gt;"",'Your debts'!$F$10&lt;&gt;"",'Your debts'!$F$13&lt;'Your debts'!$F$10),AQ183,0)+IF(AND('Your debts'!$F$14&lt;&gt;"",'Your debts'!$F$10&lt;&gt;"",'Your debts'!$F$14&lt;'Your debts'!$F$10),AV183,0)+IF(AND('Your debts'!$F$15&lt;&gt;"",'Your debts'!$F$10&lt;&gt;"",'Your debts'!$F$15&lt;'Your debts'!$F$10),BA183,0)))))</f>
        <v/>
      </c>
      <c r="AD183" s="33">
        <f>AB183-AC183</f>
        <v/>
      </c>
      <c r="AE183" s="33">
        <f>IF(AI182&lt;=0,0,ROUND(AI182*(1+'Your debts'!$D$11/1200),2))</f>
        <v/>
      </c>
      <c r="AF183" s="33">
        <f>IF(AE183&lt;=0,0,MIN('Your debts'!$E$11,AE183))</f>
        <v/>
      </c>
      <c r="AG183" s="33">
        <f>AE183-AF183</f>
        <v/>
      </c>
      <c r="AH183" s="33">
        <f>IF('Your debts'!$F$11="",0,MIN(AG183,MAX(0,MAX(0,'Your debts'!$C$19-(G183+L183+Q183+V183+AA183+AF183+AK183+AP183+AU183+AZ183))-(IF(AND('Your debts'!$F$6&lt;&gt;"",'Your debts'!$F$11&lt;&gt;"",'Your debts'!$F$6&lt;'Your debts'!$F$11),H183,0)+IF(AND('Your debts'!$F$7&lt;&gt;"",'Your debts'!$F$11&lt;&gt;"",'Your debts'!$F$7&lt;'Your debts'!$F$11),M183,0)+IF(AND('Your debts'!$F$8&lt;&gt;"",'Your debts'!$F$11&lt;&gt;"",'Your debts'!$F$8&lt;'Your debts'!$F$11),R183,0)+IF(AND('Your debts'!$F$9&lt;&gt;"",'Your debts'!$F$11&lt;&gt;"",'Your debts'!$F$9&lt;'Your debts'!$F$11),W183,0)+IF(AND('Your debts'!$F$10&lt;&gt;"",'Your debts'!$F$11&lt;&gt;"",'Your debts'!$F$10&lt;'Your debts'!$F$11),AB183,0)+IF(AND('Your debts'!$F$12&lt;&gt;"",'Your debts'!$F$11&lt;&gt;"",'Your debts'!$F$12&lt;'Your debts'!$F$11),AL183,0)+IF(AND('Your debts'!$F$13&lt;&gt;"",'Your debts'!$F$11&lt;&gt;"",'Your debts'!$F$13&lt;'Your debts'!$F$11),AQ183,0)+IF(AND('Your debts'!$F$14&lt;&gt;"",'Your debts'!$F$11&lt;&gt;"",'Your debts'!$F$14&lt;'Your debts'!$F$11),AV183,0)+IF(AND('Your debts'!$F$15&lt;&gt;"",'Your debts'!$F$11&lt;&gt;"",'Your debts'!$F$15&lt;'Your debts'!$F$11),BA183,0)))))</f>
        <v/>
      </c>
      <c r="AI183" s="33">
        <f>AG183-AH183</f>
        <v/>
      </c>
      <c r="AJ183" s="33">
        <f>IF(AN182&lt;=0,0,ROUND(AN182*(1+'Your debts'!$D$12/1200),2))</f>
        <v/>
      </c>
      <c r="AK183" s="33">
        <f>IF(AJ183&lt;=0,0,MIN('Your debts'!$E$12,AJ183))</f>
        <v/>
      </c>
      <c r="AL183" s="33">
        <f>AJ183-AK183</f>
        <v/>
      </c>
      <c r="AM183" s="33">
        <f>IF('Your debts'!$F$12="",0,MIN(AL183,MAX(0,MAX(0,'Your debts'!$C$19-(G183+L183+Q183+V183+AA183+AF183+AK183+AP183+AU183+AZ183))-(IF(AND('Your debts'!$F$6&lt;&gt;"",'Your debts'!$F$12&lt;&gt;"",'Your debts'!$F$6&lt;'Your debts'!$F$12),H183,0)+IF(AND('Your debts'!$F$7&lt;&gt;"",'Your debts'!$F$12&lt;&gt;"",'Your debts'!$F$7&lt;'Your debts'!$F$12),M183,0)+IF(AND('Your debts'!$F$8&lt;&gt;"",'Your debts'!$F$12&lt;&gt;"",'Your debts'!$F$8&lt;'Your debts'!$F$12),R183,0)+IF(AND('Your debts'!$F$9&lt;&gt;"",'Your debts'!$F$12&lt;&gt;"",'Your debts'!$F$9&lt;'Your debts'!$F$12),W183,0)+IF(AND('Your debts'!$F$10&lt;&gt;"",'Your debts'!$F$12&lt;&gt;"",'Your debts'!$F$10&lt;'Your debts'!$F$12),AB183,0)+IF(AND('Your debts'!$F$11&lt;&gt;"",'Your debts'!$F$12&lt;&gt;"",'Your debts'!$F$11&lt;'Your debts'!$F$12),AG183,0)+IF(AND('Your debts'!$F$13&lt;&gt;"",'Your debts'!$F$12&lt;&gt;"",'Your debts'!$F$13&lt;'Your debts'!$F$12),AQ183,0)+IF(AND('Your debts'!$F$14&lt;&gt;"",'Your debts'!$F$12&lt;&gt;"",'Your debts'!$F$14&lt;'Your debts'!$F$12),AV183,0)+IF(AND('Your debts'!$F$15&lt;&gt;"",'Your debts'!$F$12&lt;&gt;"",'Your debts'!$F$15&lt;'Your debts'!$F$12),BA183,0)))))</f>
        <v/>
      </c>
      <c r="AN183" s="33">
        <f>AL183-AM183</f>
        <v/>
      </c>
      <c r="AO183" s="33">
        <f>IF(AS182&lt;=0,0,ROUND(AS182*(1+'Your debts'!$D$13/1200),2))</f>
        <v/>
      </c>
      <c r="AP183" s="33">
        <f>IF(AO183&lt;=0,0,MIN('Your debts'!$E$13,AO183))</f>
        <v/>
      </c>
      <c r="AQ183" s="33">
        <f>AO183-AP183</f>
        <v/>
      </c>
      <c r="AR183" s="33">
        <f>IF('Your debts'!$F$13="",0,MIN(AQ183,MAX(0,MAX(0,'Your debts'!$C$19-(G183+L183+Q183+V183+AA183+AF183+AK183+AP183+AU183+AZ183))-(IF(AND('Your debts'!$F$6&lt;&gt;"",'Your debts'!$F$13&lt;&gt;"",'Your debts'!$F$6&lt;'Your debts'!$F$13),H183,0)+IF(AND('Your debts'!$F$7&lt;&gt;"",'Your debts'!$F$13&lt;&gt;"",'Your debts'!$F$7&lt;'Your debts'!$F$13),M183,0)+IF(AND('Your debts'!$F$8&lt;&gt;"",'Your debts'!$F$13&lt;&gt;"",'Your debts'!$F$8&lt;'Your debts'!$F$13),R183,0)+IF(AND('Your debts'!$F$9&lt;&gt;"",'Your debts'!$F$13&lt;&gt;"",'Your debts'!$F$9&lt;'Your debts'!$F$13),W183,0)+IF(AND('Your debts'!$F$10&lt;&gt;"",'Your debts'!$F$13&lt;&gt;"",'Your debts'!$F$10&lt;'Your debts'!$F$13),AB183,0)+IF(AND('Your debts'!$F$11&lt;&gt;"",'Your debts'!$F$13&lt;&gt;"",'Your debts'!$F$11&lt;'Your debts'!$F$13),AG183,0)+IF(AND('Your debts'!$F$12&lt;&gt;"",'Your debts'!$F$13&lt;&gt;"",'Your debts'!$F$12&lt;'Your debts'!$F$13),AL183,0)+IF(AND('Your debts'!$F$14&lt;&gt;"",'Your debts'!$F$13&lt;&gt;"",'Your debts'!$F$14&lt;'Your debts'!$F$13),AV183,0)+IF(AND('Your debts'!$F$15&lt;&gt;"",'Your debts'!$F$13&lt;&gt;"",'Your debts'!$F$15&lt;'Your debts'!$F$13),BA183,0)))))</f>
        <v/>
      </c>
      <c r="AS183" s="33">
        <f>AQ183-AR183</f>
        <v/>
      </c>
      <c r="AT183" s="33">
        <f>IF(AX182&lt;=0,0,ROUND(AX182*(1+'Your debts'!$D$14/1200),2))</f>
        <v/>
      </c>
      <c r="AU183" s="33">
        <f>IF(AT183&lt;=0,0,MIN('Your debts'!$E$14,AT183))</f>
        <v/>
      </c>
      <c r="AV183" s="33">
        <f>AT183-AU183</f>
        <v/>
      </c>
      <c r="AW183" s="33">
        <f>IF('Your debts'!$F$14="",0,MIN(AV183,MAX(0,MAX(0,'Your debts'!$C$19-(G183+L183+Q183+V183+AA183+AF183+AK183+AP183+AU183+AZ183))-(IF(AND('Your debts'!$F$6&lt;&gt;"",'Your debts'!$F$14&lt;&gt;"",'Your debts'!$F$6&lt;'Your debts'!$F$14),H183,0)+IF(AND('Your debts'!$F$7&lt;&gt;"",'Your debts'!$F$14&lt;&gt;"",'Your debts'!$F$7&lt;'Your debts'!$F$14),M183,0)+IF(AND('Your debts'!$F$8&lt;&gt;"",'Your debts'!$F$14&lt;&gt;"",'Your debts'!$F$8&lt;'Your debts'!$F$14),R183,0)+IF(AND('Your debts'!$F$9&lt;&gt;"",'Your debts'!$F$14&lt;&gt;"",'Your debts'!$F$9&lt;'Your debts'!$F$14),W183,0)+IF(AND('Your debts'!$F$10&lt;&gt;"",'Your debts'!$F$14&lt;&gt;"",'Your debts'!$F$10&lt;'Your debts'!$F$14),AB183,0)+IF(AND('Your debts'!$F$11&lt;&gt;"",'Your debts'!$F$14&lt;&gt;"",'Your debts'!$F$11&lt;'Your debts'!$F$14),AG183,0)+IF(AND('Your debts'!$F$12&lt;&gt;"",'Your debts'!$F$14&lt;&gt;"",'Your debts'!$F$12&lt;'Your debts'!$F$14),AL183,0)+IF(AND('Your debts'!$F$13&lt;&gt;"",'Your debts'!$F$14&lt;&gt;"",'Your debts'!$F$13&lt;'Your debts'!$F$14),AQ183,0)+IF(AND('Your debts'!$F$15&lt;&gt;"",'Your debts'!$F$14&lt;&gt;"",'Your debts'!$F$15&lt;'Your debts'!$F$14),BA183,0)))))</f>
        <v/>
      </c>
      <c r="AX183" s="33">
        <f>AV183-AW183</f>
        <v/>
      </c>
      <c r="AY183" s="33">
        <f>IF(BC182&lt;=0,0,ROUND(BC182*(1+'Your debts'!$D$15/1200),2))</f>
        <v/>
      </c>
      <c r="AZ183" s="33">
        <f>IF(AY183&lt;=0,0,MIN('Your debts'!$E$15,AY183))</f>
        <v/>
      </c>
      <c r="BA183" s="33">
        <f>AY183-AZ183</f>
        <v/>
      </c>
      <c r="BB183" s="33">
        <f>IF('Your debts'!$F$15="",0,MIN(BA183,MAX(0,MAX(0,'Your debts'!$C$19-(G183+L183+Q183+V183+AA183+AF183+AK183+AP183+AU183+AZ183))-(IF(AND('Your debts'!$F$6&lt;&gt;"",'Your debts'!$F$15&lt;&gt;"",'Your debts'!$F$6&lt;'Your debts'!$F$15),H183,0)+IF(AND('Your debts'!$F$7&lt;&gt;"",'Your debts'!$F$15&lt;&gt;"",'Your debts'!$F$7&lt;'Your debts'!$F$15),M183,0)+IF(AND('Your debts'!$F$8&lt;&gt;"",'Your debts'!$F$15&lt;&gt;"",'Your debts'!$F$8&lt;'Your debts'!$F$15),R183,0)+IF(AND('Your debts'!$F$9&lt;&gt;"",'Your debts'!$F$15&lt;&gt;"",'Your debts'!$F$9&lt;'Your debts'!$F$15),W183,0)+IF(AND('Your debts'!$F$10&lt;&gt;"",'Your debts'!$F$15&lt;&gt;"",'Your debts'!$F$10&lt;'Your debts'!$F$15),AB183,0)+IF(AND('Your debts'!$F$11&lt;&gt;"",'Your debts'!$F$15&lt;&gt;"",'Your debts'!$F$11&lt;'Your debts'!$F$15),AG183,0)+IF(AND('Your debts'!$F$12&lt;&gt;"",'Your debts'!$F$15&lt;&gt;"",'Your debts'!$F$12&lt;'Your debts'!$F$15),AL183,0)+IF(AND('Your debts'!$F$13&lt;&gt;"",'Your debts'!$F$15&lt;&gt;"",'Your debts'!$F$13&lt;'Your debts'!$F$15),AQ183,0)+IF(AND('Your debts'!$F$14&lt;&gt;"",'Your debts'!$F$15&lt;&gt;"",'Your debts'!$F$14&lt;'Your debts'!$F$15),AV183,0)))))</f>
        <v/>
      </c>
      <c r="BC183" s="33">
        <f>BA183-BB183</f>
        <v/>
      </c>
    </row>
    <row r="184">
      <c r="A184" s="30" t="n">
        <v>169</v>
      </c>
      <c r="B184" s="31">
        <f>EDATE($B$15,169)</f>
        <v/>
      </c>
      <c r="C184" s="32">
        <f>IF(J183&lt;=0,0,F184-J183)+IF(O183&lt;=0,0,K184-O183)+IF(T183&lt;=0,0,P184-T183)+IF(Y183&lt;=0,0,U184-Y183)+IF(AD183&lt;=0,0,Z184-AD183)+IF(AI183&lt;=0,0,AE184-AI183)+IF(AN183&lt;=0,0,AJ184-AN183)+IF(AS183&lt;=0,0,AO184-AS183)+IF(AX183&lt;=0,0,AT184-AX183)+IF(BC183&lt;=0,0,AY184-BC183)</f>
        <v/>
      </c>
      <c r="D184" s="32">
        <f>G184+I184+L184+N184+Q184+S184+V184+X184+AA184+AC184+AF184+AH184+AK184+AM184+AP184+AR184+AU184+AW184+AZ184+BB184</f>
        <v/>
      </c>
      <c r="E184" s="32">
        <f>J184+O184+T184+Y184+AD184+AI184+AN184+AS184+AX184+BC184</f>
        <v/>
      </c>
      <c r="F184" s="33">
        <f>IF(J183&lt;=0,0,ROUND(J183*(1+'Your debts'!$D$6/1200),2))</f>
        <v/>
      </c>
      <c r="G184" s="33">
        <f>IF(F184&lt;=0,0,MIN('Your debts'!$E$6,F184))</f>
        <v/>
      </c>
      <c r="H184" s="33">
        <f>F184-G184</f>
        <v/>
      </c>
      <c r="I184" s="33">
        <f>IF('Your debts'!$F$6="",0,MIN(H184,MAX(0,MAX(0,'Your debts'!$C$19-(G184+L184+Q184+V184+AA184+AF184+AK184+AP184+AU184+AZ184))-(IF(AND('Your debts'!$F$7&lt;&gt;"",'Your debts'!$F$6&lt;&gt;"",'Your debts'!$F$7&lt;'Your debts'!$F$6),M184,0)+IF(AND('Your debts'!$F$8&lt;&gt;"",'Your debts'!$F$6&lt;&gt;"",'Your debts'!$F$8&lt;'Your debts'!$F$6),R184,0)+IF(AND('Your debts'!$F$9&lt;&gt;"",'Your debts'!$F$6&lt;&gt;"",'Your debts'!$F$9&lt;'Your debts'!$F$6),W184,0)+IF(AND('Your debts'!$F$10&lt;&gt;"",'Your debts'!$F$6&lt;&gt;"",'Your debts'!$F$10&lt;'Your debts'!$F$6),AB184,0)+IF(AND('Your debts'!$F$11&lt;&gt;"",'Your debts'!$F$6&lt;&gt;"",'Your debts'!$F$11&lt;'Your debts'!$F$6),AG184,0)+IF(AND('Your debts'!$F$12&lt;&gt;"",'Your debts'!$F$6&lt;&gt;"",'Your debts'!$F$12&lt;'Your debts'!$F$6),AL184,0)+IF(AND('Your debts'!$F$13&lt;&gt;"",'Your debts'!$F$6&lt;&gt;"",'Your debts'!$F$13&lt;'Your debts'!$F$6),AQ184,0)+IF(AND('Your debts'!$F$14&lt;&gt;"",'Your debts'!$F$6&lt;&gt;"",'Your debts'!$F$14&lt;'Your debts'!$F$6),AV184,0)+IF(AND('Your debts'!$F$15&lt;&gt;"",'Your debts'!$F$6&lt;&gt;"",'Your debts'!$F$15&lt;'Your debts'!$F$6),BA184,0)))))</f>
        <v/>
      </c>
      <c r="J184" s="33">
        <f>H184-I184</f>
        <v/>
      </c>
      <c r="K184" s="33">
        <f>IF(O183&lt;=0,0,ROUND(O183*(1+'Your debts'!$D$7/1200),2))</f>
        <v/>
      </c>
      <c r="L184" s="33">
        <f>IF(K184&lt;=0,0,MIN('Your debts'!$E$7,K184))</f>
        <v/>
      </c>
      <c r="M184" s="33">
        <f>K184-L184</f>
        <v/>
      </c>
      <c r="N184" s="33">
        <f>IF('Your debts'!$F$7="",0,MIN(M184,MAX(0,MAX(0,'Your debts'!$C$19-(G184+L184+Q184+V184+AA184+AF184+AK184+AP184+AU184+AZ184))-(IF(AND('Your debts'!$F$6&lt;&gt;"",'Your debts'!$F$7&lt;&gt;"",'Your debts'!$F$6&lt;'Your debts'!$F$7),H184,0)+IF(AND('Your debts'!$F$8&lt;&gt;"",'Your debts'!$F$7&lt;&gt;"",'Your debts'!$F$8&lt;'Your debts'!$F$7),R184,0)+IF(AND('Your debts'!$F$9&lt;&gt;"",'Your debts'!$F$7&lt;&gt;"",'Your debts'!$F$9&lt;'Your debts'!$F$7),W184,0)+IF(AND('Your debts'!$F$10&lt;&gt;"",'Your debts'!$F$7&lt;&gt;"",'Your debts'!$F$10&lt;'Your debts'!$F$7),AB184,0)+IF(AND('Your debts'!$F$11&lt;&gt;"",'Your debts'!$F$7&lt;&gt;"",'Your debts'!$F$11&lt;'Your debts'!$F$7),AG184,0)+IF(AND('Your debts'!$F$12&lt;&gt;"",'Your debts'!$F$7&lt;&gt;"",'Your debts'!$F$12&lt;'Your debts'!$F$7),AL184,0)+IF(AND('Your debts'!$F$13&lt;&gt;"",'Your debts'!$F$7&lt;&gt;"",'Your debts'!$F$13&lt;'Your debts'!$F$7),AQ184,0)+IF(AND('Your debts'!$F$14&lt;&gt;"",'Your debts'!$F$7&lt;&gt;"",'Your debts'!$F$14&lt;'Your debts'!$F$7),AV184,0)+IF(AND('Your debts'!$F$15&lt;&gt;"",'Your debts'!$F$7&lt;&gt;"",'Your debts'!$F$15&lt;'Your debts'!$F$7),BA184,0)))))</f>
        <v/>
      </c>
      <c r="O184" s="33">
        <f>M184-N184</f>
        <v/>
      </c>
      <c r="P184" s="33">
        <f>IF(T183&lt;=0,0,ROUND(T183*(1+'Your debts'!$D$8/1200),2))</f>
        <v/>
      </c>
      <c r="Q184" s="33">
        <f>IF(P184&lt;=0,0,MIN('Your debts'!$E$8,P184))</f>
        <v/>
      </c>
      <c r="R184" s="33">
        <f>P184-Q184</f>
        <v/>
      </c>
      <c r="S184" s="33">
        <f>IF('Your debts'!$F$8="",0,MIN(R184,MAX(0,MAX(0,'Your debts'!$C$19-(G184+L184+Q184+V184+AA184+AF184+AK184+AP184+AU184+AZ184))-(IF(AND('Your debts'!$F$6&lt;&gt;"",'Your debts'!$F$8&lt;&gt;"",'Your debts'!$F$6&lt;'Your debts'!$F$8),H184,0)+IF(AND('Your debts'!$F$7&lt;&gt;"",'Your debts'!$F$8&lt;&gt;"",'Your debts'!$F$7&lt;'Your debts'!$F$8),M184,0)+IF(AND('Your debts'!$F$9&lt;&gt;"",'Your debts'!$F$8&lt;&gt;"",'Your debts'!$F$9&lt;'Your debts'!$F$8),W184,0)+IF(AND('Your debts'!$F$10&lt;&gt;"",'Your debts'!$F$8&lt;&gt;"",'Your debts'!$F$10&lt;'Your debts'!$F$8),AB184,0)+IF(AND('Your debts'!$F$11&lt;&gt;"",'Your debts'!$F$8&lt;&gt;"",'Your debts'!$F$11&lt;'Your debts'!$F$8),AG184,0)+IF(AND('Your debts'!$F$12&lt;&gt;"",'Your debts'!$F$8&lt;&gt;"",'Your debts'!$F$12&lt;'Your debts'!$F$8),AL184,0)+IF(AND('Your debts'!$F$13&lt;&gt;"",'Your debts'!$F$8&lt;&gt;"",'Your debts'!$F$13&lt;'Your debts'!$F$8),AQ184,0)+IF(AND('Your debts'!$F$14&lt;&gt;"",'Your debts'!$F$8&lt;&gt;"",'Your debts'!$F$14&lt;'Your debts'!$F$8),AV184,0)+IF(AND('Your debts'!$F$15&lt;&gt;"",'Your debts'!$F$8&lt;&gt;"",'Your debts'!$F$15&lt;'Your debts'!$F$8),BA184,0)))))</f>
        <v/>
      </c>
      <c r="T184" s="33">
        <f>R184-S184</f>
        <v/>
      </c>
      <c r="U184" s="33">
        <f>IF(Y183&lt;=0,0,ROUND(Y183*(1+'Your debts'!$D$9/1200),2))</f>
        <v/>
      </c>
      <c r="V184" s="33">
        <f>IF(U184&lt;=0,0,MIN('Your debts'!$E$9,U184))</f>
        <v/>
      </c>
      <c r="W184" s="33">
        <f>U184-V184</f>
        <v/>
      </c>
      <c r="X184" s="33">
        <f>IF('Your debts'!$F$9="",0,MIN(W184,MAX(0,MAX(0,'Your debts'!$C$19-(G184+L184+Q184+V184+AA184+AF184+AK184+AP184+AU184+AZ184))-(IF(AND('Your debts'!$F$6&lt;&gt;"",'Your debts'!$F$9&lt;&gt;"",'Your debts'!$F$6&lt;'Your debts'!$F$9),H184,0)+IF(AND('Your debts'!$F$7&lt;&gt;"",'Your debts'!$F$9&lt;&gt;"",'Your debts'!$F$7&lt;'Your debts'!$F$9),M184,0)+IF(AND('Your debts'!$F$8&lt;&gt;"",'Your debts'!$F$9&lt;&gt;"",'Your debts'!$F$8&lt;'Your debts'!$F$9),R184,0)+IF(AND('Your debts'!$F$10&lt;&gt;"",'Your debts'!$F$9&lt;&gt;"",'Your debts'!$F$10&lt;'Your debts'!$F$9),AB184,0)+IF(AND('Your debts'!$F$11&lt;&gt;"",'Your debts'!$F$9&lt;&gt;"",'Your debts'!$F$11&lt;'Your debts'!$F$9),AG184,0)+IF(AND('Your debts'!$F$12&lt;&gt;"",'Your debts'!$F$9&lt;&gt;"",'Your debts'!$F$12&lt;'Your debts'!$F$9),AL184,0)+IF(AND('Your debts'!$F$13&lt;&gt;"",'Your debts'!$F$9&lt;&gt;"",'Your debts'!$F$13&lt;'Your debts'!$F$9),AQ184,0)+IF(AND('Your debts'!$F$14&lt;&gt;"",'Your debts'!$F$9&lt;&gt;"",'Your debts'!$F$14&lt;'Your debts'!$F$9),AV184,0)+IF(AND('Your debts'!$F$15&lt;&gt;"",'Your debts'!$F$9&lt;&gt;"",'Your debts'!$F$15&lt;'Your debts'!$F$9),BA184,0)))))</f>
        <v/>
      </c>
      <c r="Y184" s="33">
        <f>W184-X184</f>
        <v/>
      </c>
      <c r="Z184" s="33">
        <f>IF(AD183&lt;=0,0,ROUND(AD183*(1+'Your debts'!$D$10/1200),2))</f>
        <v/>
      </c>
      <c r="AA184" s="33">
        <f>IF(Z184&lt;=0,0,MIN('Your debts'!$E$10,Z184))</f>
        <v/>
      </c>
      <c r="AB184" s="33">
        <f>Z184-AA184</f>
        <v/>
      </c>
      <c r="AC184" s="33">
        <f>IF('Your debts'!$F$10="",0,MIN(AB184,MAX(0,MAX(0,'Your debts'!$C$19-(G184+L184+Q184+V184+AA184+AF184+AK184+AP184+AU184+AZ184))-(IF(AND('Your debts'!$F$6&lt;&gt;"",'Your debts'!$F$10&lt;&gt;"",'Your debts'!$F$6&lt;'Your debts'!$F$10),H184,0)+IF(AND('Your debts'!$F$7&lt;&gt;"",'Your debts'!$F$10&lt;&gt;"",'Your debts'!$F$7&lt;'Your debts'!$F$10),M184,0)+IF(AND('Your debts'!$F$8&lt;&gt;"",'Your debts'!$F$10&lt;&gt;"",'Your debts'!$F$8&lt;'Your debts'!$F$10),R184,0)+IF(AND('Your debts'!$F$9&lt;&gt;"",'Your debts'!$F$10&lt;&gt;"",'Your debts'!$F$9&lt;'Your debts'!$F$10),W184,0)+IF(AND('Your debts'!$F$11&lt;&gt;"",'Your debts'!$F$10&lt;&gt;"",'Your debts'!$F$11&lt;'Your debts'!$F$10),AG184,0)+IF(AND('Your debts'!$F$12&lt;&gt;"",'Your debts'!$F$10&lt;&gt;"",'Your debts'!$F$12&lt;'Your debts'!$F$10),AL184,0)+IF(AND('Your debts'!$F$13&lt;&gt;"",'Your debts'!$F$10&lt;&gt;"",'Your debts'!$F$13&lt;'Your debts'!$F$10),AQ184,0)+IF(AND('Your debts'!$F$14&lt;&gt;"",'Your debts'!$F$10&lt;&gt;"",'Your debts'!$F$14&lt;'Your debts'!$F$10),AV184,0)+IF(AND('Your debts'!$F$15&lt;&gt;"",'Your debts'!$F$10&lt;&gt;"",'Your debts'!$F$15&lt;'Your debts'!$F$10),BA184,0)))))</f>
        <v/>
      </c>
      <c r="AD184" s="33">
        <f>AB184-AC184</f>
        <v/>
      </c>
      <c r="AE184" s="33">
        <f>IF(AI183&lt;=0,0,ROUND(AI183*(1+'Your debts'!$D$11/1200),2))</f>
        <v/>
      </c>
      <c r="AF184" s="33">
        <f>IF(AE184&lt;=0,0,MIN('Your debts'!$E$11,AE184))</f>
        <v/>
      </c>
      <c r="AG184" s="33">
        <f>AE184-AF184</f>
        <v/>
      </c>
      <c r="AH184" s="33">
        <f>IF('Your debts'!$F$11="",0,MIN(AG184,MAX(0,MAX(0,'Your debts'!$C$19-(G184+L184+Q184+V184+AA184+AF184+AK184+AP184+AU184+AZ184))-(IF(AND('Your debts'!$F$6&lt;&gt;"",'Your debts'!$F$11&lt;&gt;"",'Your debts'!$F$6&lt;'Your debts'!$F$11),H184,0)+IF(AND('Your debts'!$F$7&lt;&gt;"",'Your debts'!$F$11&lt;&gt;"",'Your debts'!$F$7&lt;'Your debts'!$F$11),M184,0)+IF(AND('Your debts'!$F$8&lt;&gt;"",'Your debts'!$F$11&lt;&gt;"",'Your debts'!$F$8&lt;'Your debts'!$F$11),R184,0)+IF(AND('Your debts'!$F$9&lt;&gt;"",'Your debts'!$F$11&lt;&gt;"",'Your debts'!$F$9&lt;'Your debts'!$F$11),W184,0)+IF(AND('Your debts'!$F$10&lt;&gt;"",'Your debts'!$F$11&lt;&gt;"",'Your debts'!$F$10&lt;'Your debts'!$F$11),AB184,0)+IF(AND('Your debts'!$F$12&lt;&gt;"",'Your debts'!$F$11&lt;&gt;"",'Your debts'!$F$12&lt;'Your debts'!$F$11),AL184,0)+IF(AND('Your debts'!$F$13&lt;&gt;"",'Your debts'!$F$11&lt;&gt;"",'Your debts'!$F$13&lt;'Your debts'!$F$11),AQ184,0)+IF(AND('Your debts'!$F$14&lt;&gt;"",'Your debts'!$F$11&lt;&gt;"",'Your debts'!$F$14&lt;'Your debts'!$F$11),AV184,0)+IF(AND('Your debts'!$F$15&lt;&gt;"",'Your debts'!$F$11&lt;&gt;"",'Your debts'!$F$15&lt;'Your debts'!$F$11),BA184,0)))))</f>
        <v/>
      </c>
      <c r="AI184" s="33">
        <f>AG184-AH184</f>
        <v/>
      </c>
      <c r="AJ184" s="33">
        <f>IF(AN183&lt;=0,0,ROUND(AN183*(1+'Your debts'!$D$12/1200),2))</f>
        <v/>
      </c>
      <c r="AK184" s="33">
        <f>IF(AJ184&lt;=0,0,MIN('Your debts'!$E$12,AJ184))</f>
        <v/>
      </c>
      <c r="AL184" s="33">
        <f>AJ184-AK184</f>
        <v/>
      </c>
      <c r="AM184" s="33">
        <f>IF('Your debts'!$F$12="",0,MIN(AL184,MAX(0,MAX(0,'Your debts'!$C$19-(G184+L184+Q184+V184+AA184+AF184+AK184+AP184+AU184+AZ184))-(IF(AND('Your debts'!$F$6&lt;&gt;"",'Your debts'!$F$12&lt;&gt;"",'Your debts'!$F$6&lt;'Your debts'!$F$12),H184,0)+IF(AND('Your debts'!$F$7&lt;&gt;"",'Your debts'!$F$12&lt;&gt;"",'Your debts'!$F$7&lt;'Your debts'!$F$12),M184,0)+IF(AND('Your debts'!$F$8&lt;&gt;"",'Your debts'!$F$12&lt;&gt;"",'Your debts'!$F$8&lt;'Your debts'!$F$12),R184,0)+IF(AND('Your debts'!$F$9&lt;&gt;"",'Your debts'!$F$12&lt;&gt;"",'Your debts'!$F$9&lt;'Your debts'!$F$12),W184,0)+IF(AND('Your debts'!$F$10&lt;&gt;"",'Your debts'!$F$12&lt;&gt;"",'Your debts'!$F$10&lt;'Your debts'!$F$12),AB184,0)+IF(AND('Your debts'!$F$11&lt;&gt;"",'Your debts'!$F$12&lt;&gt;"",'Your debts'!$F$11&lt;'Your debts'!$F$12),AG184,0)+IF(AND('Your debts'!$F$13&lt;&gt;"",'Your debts'!$F$12&lt;&gt;"",'Your debts'!$F$13&lt;'Your debts'!$F$12),AQ184,0)+IF(AND('Your debts'!$F$14&lt;&gt;"",'Your debts'!$F$12&lt;&gt;"",'Your debts'!$F$14&lt;'Your debts'!$F$12),AV184,0)+IF(AND('Your debts'!$F$15&lt;&gt;"",'Your debts'!$F$12&lt;&gt;"",'Your debts'!$F$15&lt;'Your debts'!$F$12),BA184,0)))))</f>
        <v/>
      </c>
      <c r="AN184" s="33">
        <f>AL184-AM184</f>
        <v/>
      </c>
      <c r="AO184" s="33">
        <f>IF(AS183&lt;=0,0,ROUND(AS183*(1+'Your debts'!$D$13/1200),2))</f>
        <v/>
      </c>
      <c r="AP184" s="33">
        <f>IF(AO184&lt;=0,0,MIN('Your debts'!$E$13,AO184))</f>
        <v/>
      </c>
      <c r="AQ184" s="33">
        <f>AO184-AP184</f>
        <v/>
      </c>
      <c r="AR184" s="33">
        <f>IF('Your debts'!$F$13="",0,MIN(AQ184,MAX(0,MAX(0,'Your debts'!$C$19-(G184+L184+Q184+V184+AA184+AF184+AK184+AP184+AU184+AZ184))-(IF(AND('Your debts'!$F$6&lt;&gt;"",'Your debts'!$F$13&lt;&gt;"",'Your debts'!$F$6&lt;'Your debts'!$F$13),H184,0)+IF(AND('Your debts'!$F$7&lt;&gt;"",'Your debts'!$F$13&lt;&gt;"",'Your debts'!$F$7&lt;'Your debts'!$F$13),M184,0)+IF(AND('Your debts'!$F$8&lt;&gt;"",'Your debts'!$F$13&lt;&gt;"",'Your debts'!$F$8&lt;'Your debts'!$F$13),R184,0)+IF(AND('Your debts'!$F$9&lt;&gt;"",'Your debts'!$F$13&lt;&gt;"",'Your debts'!$F$9&lt;'Your debts'!$F$13),W184,0)+IF(AND('Your debts'!$F$10&lt;&gt;"",'Your debts'!$F$13&lt;&gt;"",'Your debts'!$F$10&lt;'Your debts'!$F$13),AB184,0)+IF(AND('Your debts'!$F$11&lt;&gt;"",'Your debts'!$F$13&lt;&gt;"",'Your debts'!$F$11&lt;'Your debts'!$F$13),AG184,0)+IF(AND('Your debts'!$F$12&lt;&gt;"",'Your debts'!$F$13&lt;&gt;"",'Your debts'!$F$12&lt;'Your debts'!$F$13),AL184,0)+IF(AND('Your debts'!$F$14&lt;&gt;"",'Your debts'!$F$13&lt;&gt;"",'Your debts'!$F$14&lt;'Your debts'!$F$13),AV184,0)+IF(AND('Your debts'!$F$15&lt;&gt;"",'Your debts'!$F$13&lt;&gt;"",'Your debts'!$F$15&lt;'Your debts'!$F$13),BA184,0)))))</f>
        <v/>
      </c>
      <c r="AS184" s="33">
        <f>AQ184-AR184</f>
        <v/>
      </c>
      <c r="AT184" s="33">
        <f>IF(AX183&lt;=0,0,ROUND(AX183*(1+'Your debts'!$D$14/1200),2))</f>
        <v/>
      </c>
      <c r="AU184" s="33">
        <f>IF(AT184&lt;=0,0,MIN('Your debts'!$E$14,AT184))</f>
        <v/>
      </c>
      <c r="AV184" s="33">
        <f>AT184-AU184</f>
        <v/>
      </c>
      <c r="AW184" s="33">
        <f>IF('Your debts'!$F$14="",0,MIN(AV184,MAX(0,MAX(0,'Your debts'!$C$19-(G184+L184+Q184+V184+AA184+AF184+AK184+AP184+AU184+AZ184))-(IF(AND('Your debts'!$F$6&lt;&gt;"",'Your debts'!$F$14&lt;&gt;"",'Your debts'!$F$6&lt;'Your debts'!$F$14),H184,0)+IF(AND('Your debts'!$F$7&lt;&gt;"",'Your debts'!$F$14&lt;&gt;"",'Your debts'!$F$7&lt;'Your debts'!$F$14),M184,0)+IF(AND('Your debts'!$F$8&lt;&gt;"",'Your debts'!$F$14&lt;&gt;"",'Your debts'!$F$8&lt;'Your debts'!$F$14),R184,0)+IF(AND('Your debts'!$F$9&lt;&gt;"",'Your debts'!$F$14&lt;&gt;"",'Your debts'!$F$9&lt;'Your debts'!$F$14),W184,0)+IF(AND('Your debts'!$F$10&lt;&gt;"",'Your debts'!$F$14&lt;&gt;"",'Your debts'!$F$10&lt;'Your debts'!$F$14),AB184,0)+IF(AND('Your debts'!$F$11&lt;&gt;"",'Your debts'!$F$14&lt;&gt;"",'Your debts'!$F$11&lt;'Your debts'!$F$14),AG184,0)+IF(AND('Your debts'!$F$12&lt;&gt;"",'Your debts'!$F$14&lt;&gt;"",'Your debts'!$F$12&lt;'Your debts'!$F$14),AL184,0)+IF(AND('Your debts'!$F$13&lt;&gt;"",'Your debts'!$F$14&lt;&gt;"",'Your debts'!$F$13&lt;'Your debts'!$F$14),AQ184,0)+IF(AND('Your debts'!$F$15&lt;&gt;"",'Your debts'!$F$14&lt;&gt;"",'Your debts'!$F$15&lt;'Your debts'!$F$14),BA184,0)))))</f>
        <v/>
      </c>
      <c r="AX184" s="33">
        <f>AV184-AW184</f>
        <v/>
      </c>
      <c r="AY184" s="33">
        <f>IF(BC183&lt;=0,0,ROUND(BC183*(1+'Your debts'!$D$15/1200),2))</f>
        <v/>
      </c>
      <c r="AZ184" s="33">
        <f>IF(AY184&lt;=0,0,MIN('Your debts'!$E$15,AY184))</f>
        <v/>
      </c>
      <c r="BA184" s="33">
        <f>AY184-AZ184</f>
        <v/>
      </c>
      <c r="BB184" s="33">
        <f>IF('Your debts'!$F$15="",0,MIN(BA184,MAX(0,MAX(0,'Your debts'!$C$19-(G184+L184+Q184+V184+AA184+AF184+AK184+AP184+AU184+AZ184))-(IF(AND('Your debts'!$F$6&lt;&gt;"",'Your debts'!$F$15&lt;&gt;"",'Your debts'!$F$6&lt;'Your debts'!$F$15),H184,0)+IF(AND('Your debts'!$F$7&lt;&gt;"",'Your debts'!$F$15&lt;&gt;"",'Your debts'!$F$7&lt;'Your debts'!$F$15),M184,0)+IF(AND('Your debts'!$F$8&lt;&gt;"",'Your debts'!$F$15&lt;&gt;"",'Your debts'!$F$8&lt;'Your debts'!$F$15),R184,0)+IF(AND('Your debts'!$F$9&lt;&gt;"",'Your debts'!$F$15&lt;&gt;"",'Your debts'!$F$9&lt;'Your debts'!$F$15),W184,0)+IF(AND('Your debts'!$F$10&lt;&gt;"",'Your debts'!$F$15&lt;&gt;"",'Your debts'!$F$10&lt;'Your debts'!$F$15),AB184,0)+IF(AND('Your debts'!$F$11&lt;&gt;"",'Your debts'!$F$15&lt;&gt;"",'Your debts'!$F$11&lt;'Your debts'!$F$15),AG184,0)+IF(AND('Your debts'!$F$12&lt;&gt;"",'Your debts'!$F$15&lt;&gt;"",'Your debts'!$F$12&lt;'Your debts'!$F$15),AL184,0)+IF(AND('Your debts'!$F$13&lt;&gt;"",'Your debts'!$F$15&lt;&gt;"",'Your debts'!$F$13&lt;'Your debts'!$F$15),AQ184,0)+IF(AND('Your debts'!$F$14&lt;&gt;"",'Your debts'!$F$15&lt;&gt;"",'Your debts'!$F$14&lt;'Your debts'!$F$15),AV184,0)))))</f>
        <v/>
      </c>
      <c r="BC184" s="33">
        <f>BA184-BB184</f>
        <v/>
      </c>
    </row>
    <row r="185">
      <c r="A185" s="30" t="n">
        <v>170</v>
      </c>
      <c r="B185" s="31">
        <f>EDATE($B$15,170)</f>
        <v/>
      </c>
      <c r="C185" s="32">
        <f>IF(J184&lt;=0,0,F185-J184)+IF(O184&lt;=0,0,K185-O184)+IF(T184&lt;=0,0,P185-T184)+IF(Y184&lt;=0,0,U185-Y184)+IF(AD184&lt;=0,0,Z185-AD184)+IF(AI184&lt;=0,0,AE185-AI184)+IF(AN184&lt;=0,0,AJ185-AN184)+IF(AS184&lt;=0,0,AO185-AS184)+IF(AX184&lt;=0,0,AT185-AX184)+IF(BC184&lt;=0,0,AY185-BC184)</f>
        <v/>
      </c>
      <c r="D185" s="32">
        <f>G185+I185+L185+N185+Q185+S185+V185+X185+AA185+AC185+AF185+AH185+AK185+AM185+AP185+AR185+AU185+AW185+AZ185+BB185</f>
        <v/>
      </c>
      <c r="E185" s="32">
        <f>J185+O185+T185+Y185+AD185+AI185+AN185+AS185+AX185+BC185</f>
        <v/>
      </c>
      <c r="F185" s="33">
        <f>IF(J184&lt;=0,0,ROUND(J184*(1+'Your debts'!$D$6/1200),2))</f>
        <v/>
      </c>
      <c r="G185" s="33">
        <f>IF(F185&lt;=0,0,MIN('Your debts'!$E$6,F185))</f>
        <v/>
      </c>
      <c r="H185" s="33">
        <f>F185-G185</f>
        <v/>
      </c>
      <c r="I185" s="33">
        <f>IF('Your debts'!$F$6="",0,MIN(H185,MAX(0,MAX(0,'Your debts'!$C$19-(G185+L185+Q185+V185+AA185+AF185+AK185+AP185+AU185+AZ185))-(IF(AND('Your debts'!$F$7&lt;&gt;"",'Your debts'!$F$6&lt;&gt;"",'Your debts'!$F$7&lt;'Your debts'!$F$6),M185,0)+IF(AND('Your debts'!$F$8&lt;&gt;"",'Your debts'!$F$6&lt;&gt;"",'Your debts'!$F$8&lt;'Your debts'!$F$6),R185,0)+IF(AND('Your debts'!$F$9&lt;&gt;"",'Your debts'!$F$6&lt;&gt;"",'Your debts'!$F$9&lt;'Your debts'!$F$6),W185,0)+IF(AND('Your debts'!$F$10&lt;&gt;"",'Your debts'!$F$6&lt;&gt;"",'Your debts'!$F$10&lt;'Your debts'!$F$6),AB185,0)+IF(AND('Your debts'!$F$11&lt;&gt;"",'Your debts'!$F$6&lt;&gt;"",'Your debts'!$F$11&lt;'Your debts'!$F$6),AG185,0)+IF(AND('Your debts'!$F$12&lt;&gt;"",'Your debts'!$F$6&lt;&gt;"",'Your debts'!$F$12&lt;'Your debts'!$F$6),AL185,0)+IF(AND('Your debts'!$F$13&lt;&gt;"",'Your debts'!$F$6&lt;&gt;"",'Your debts'!$F$13&lt;'Your debts'!$F$6),AQ185,0)+IF(AND('Your debts'!$F$14&lt;&gt;"",'Your debts'!$F$6&lt;&gt;"",'Your debts'!$F$14&lt;'Your debts'!$F$6),AV185,0)+IF(AND('Your debts'!$F$15&lt;&gt;"",'Your debts'!$F$6&lt;&gt;"",'Your debts'!$F$15&lt;'Your debts'!$F$6),BA185,0)))))</f>
        <v/>
      </c>
      <c r="J185" s="33">
        <f>H185-I185</f>
        <v/>
      </c>
      <c r="K185" s="33">
        <f>IF(O184&lt;=0,0,ROUND(O184*(1+'Your debts'!$D$7/1200),2))</f>
        <v/>
      </c>
      <c r="L185" s="33">
        <f>IF(K185&lt;=0,0,MIN('Your debts'!$E$7,K185))</f>
        <v/>
      </c>
      <c r="M185" s="33">
        <f>K185-L185</f>
        <v/>
      </c>
      <c r="N185" s="33">
        <f>IF('Your debts'!$F$7="",0,MIN(M185,MAX(0,MAX(0,'Your debts'!$C$19-(G185+L185+Q185+V185+AA185+AF185+AK185+AP185+AU185+AZ185))-(IF(AND('Your debts'!$F$6&lt;&gt;"",'Your debts'!$F$7&lt;&gt;"",'Your debts'!$F$6&lt;'Your debts'!$F$7),H185,0)+IF(AND('Your debts'!$F$8&lt;&gt;"",'Your debts'!$F$7&lt;&gt;"",'Your debts'!$F$8&lt;'Your debts'!$F$7),R185,0)+IF(AND('Your debts'!$F$9&lt;&gt;"",'Your debts'!$F$7&lt;&gt;"",'Your debts'!$F$9&lt;'Your debts'!$F$7),W185,0)+IF(AND('Your debts'!$F$10&lt;&gt;"",'Your debts'!$F$7&lt;&gt;"",'Your debts'!$F$10&lt;'Your debts'!$F$7),AB185,0)+IF(AND('Your debts'!$F$11&lt;&gt;"",'Your debts'!$F$7&lt;&gt;"",'Your debts'!$F$11&lt;'Your debts'!$F$7),AG185,0)+IF(AND('Your debts'!$F$12&lt;&gt;"",'Your debts'!$F$7&lt;&gt;"",'Your debts'!$F$12&lt;'Your debts'!$F$7),AL185,0)+IF(AND('Your debts'!$F$13&lt;&gt;"",'Your debts'!$F$7&lt;&gt;"",'Your debts'!$F$13&lt;'Your debts'!$F$7),AQ185,0)+IF(AND('Your debts'!$F$14&lt;&gt;"",'Your debts'!$F$7&lt;&gt;"",'Your debts'!$F$14&lt;'Your debts'!$F$7),AV185,0)+IF(AND('Your debts'!$F$15&lt;&gt;"",'Your debts'!$F$7&lt;&gt;"",'Your debts'!$F$15&lt;'Your debts'!$F$7),BA185,0)))))</f>
        <v/>
      </c>
      <c r="O185" s="33">
        <f>M185-N185</f>
        <v/>
      </c>
      <c r="P185" s="33">
        <f>IF(T184&lt;=0,0,ROUND(T184*(1+'Your debts'!$D$8/1200),2))</f>
        <v/>
      </c>
      <c r="Q185" s="33">
        <f>IF(P185&lt;=0,0,MIN('Your debts'!$E$8,P185))</f>
        <v/>
      </c>
      <c r="R185" s="33">
        <f>P185-Q185</f>
        <v/>
      </c>
      <c r="S185" s="33">
        <f>IF('Your debts'!$F$8="",0,MIN(R185,MAX(0,MAX(0,'Your debts'!$C$19-(G185+L185+Q185+V185+AA185+AF185+AK185+AP185+AU185+AZ185))-(IF(AND('Your debts'!$F$6&lt;&gt;"",'Your debts'!$F$8&lt;&gt;"",'Your debts'!$F$6&lt;'Your debts'!$F$8),H185,0)+IF(AND('Your debts'!$F$7&lt;&gt;"",'Your debts'!$F$8&lt;&gt;"",'Your debts'!$F$7&lt;'Your debts'!$F$8),M185,0)+IF(AND('Your debts'!$F$9&lt;&gt;"",'Your debts'!$F$8&lt;&gt;"",'Your debts'!$F$9&lt;'Your debts'!$F$8),W185,0)+IF(AND('Your debts'!$F$10&lt;&gt;"",'Your debts'!$F$8&lt;&gt;"",'Your debts'!$F$10&lt;'Your debts'!$F$8),AB185,0)+IF(AND('Your debts'!$F$11&lt;&gt;"",'Your debts'!$F$8&lt;&gt;"",'Your debts'!$F$11&lt;'Your debts'!$F$8),AG185,0)+IF(AND('Your debts'!$F$12&lt;&gt;"",'Your debts'!$F$8&lt;&gt;"",'Your debts'!$F$12&lt;'Your debts'!$F$8),AL185,0)+IF(AND('Your debts'!$F$13&lt;&gt;"",'Your debts'!$F$8&lt;&gt;"",'Your debts'!$F$13&lt;'Your debts'!$F$8),AQ185,0)+IF(AND('Your debts'!$F$14&lt;&gt;"",'Your debts'!$F$8&lt;&gt;"",'Your debts'!$F$14&lt;'Your debts'!$F$8),AV185,0)+IF(AND('Your debts'!$F$15&lt;&gt;"",'Your debts'!$F$8&lt;&gt;"",'Your debts'!$F$15&lt;'Your debts'!$F$8),BA185,0)))))</f>
        <v/>
      </c>
      <c r="T185" s="33">
        <f>R185-S185</f>
        <v/>
      </c>
      <c r="U185" s="33">
        <f>IF(Y184&lt;=0,0,ROUND(Y184*(1+'Your debts'!$D$9/1200),2))</f>
        <v/>
      </c>
      <c r="V185" s="33">
        <f>IF(U185&lt;=0,0,MIN('Your debts'!$E$9,U185))</f>
        <v/>
      </c>
      <c r="W185" s="33">
        <f>U185-V185</f>
        <v/>
      </c>
      <c r="X185" s="33">
        <f>IF('Your debts'!$F$9="",0,MIN(W185,MAX(0,MAX(0,'Your debts'!$C$19-(G185+L185+Q185+V185+AA185+AF185+AK185+AP185+AU185+AZ185))-(IF(AND('Your debts'!$F$6&lt;&gt;"",'Your debts'!$F$9&lt;&gt;"",'Your debts'!$F$6&lt;'Your debts'!$F$9),H185,0)+IF(AND('Your debts'!$F$7&lt;&gt;"",'Your debts'!$F$9&lt;&gt;"",'Your debts'!$F$7&lt;'Your debts'!$F$9),M185,0)+IF(AND('Your debts'!$F$8&lt;&gt;"",'Your debts'!$F$9&lt;&gt;"",'Your debts'!$F$8&lt;'Your debts'!$F$9),R185,0)+IF(AND('Your debts'!$F$10&lt;&gt;"",'Your debts'!$F$9&lt;&gt;"",'Your debts'!$F$10&lt;'Your debts'!$F$9),AB185,0)+IF(AND('Your debts'!$F$11&lt;&gt;"",'Your debts'!$F$9&lt;&gt;"",'Your debts'!$F$11&lt;'Your debts'!$F$9),AG185,0)+IF(AND('Your debts'!$F$12&lt;&gt;"",'Your debts'!$F$9&lt;&gt;"",'Your debts'!$F$12&lt;'Your debts'!$F$9),AL185,0)+IF(AND('Your debts'!$F$13&lt;&gt;"",'Your debts'!$F$9&lt;&gt;"",'Your debts'!$F$13&lt;'Your debts'!$F$9),AQ185,0)+IF(AND('Your debts'!$F$14&lt;&gt;"",'Your debts'!$F$9&lt;&gt;"",'Your debts'!$F$14&lt;'Your debts'!$F$9),AV185,0)+IF(AND('Your debts'!$F$15&lt;&gt;"",'Your debts'!$F$9&lt;&gt;"",'Your debts'!$F$15&lt;'Your debts'!$F$9),BA185,0)))))</f>
        <v/>
      </c>
      <c r="Y185" s="33">
        <f>W185-X185</f>
        <v/>
      </c>
      <c r="Z185" s="33">
        <f>IF(AD184&lt;=0,0,ROUND(AD184*(1+'Your debts'!$D$10/1200),2))</f>
        <v/>
      </c>
      <c r="AA185" s="33">
        <f>IF(Z185&lt;=0,0,MIN('Your debts'!$E$10,Z185))</f>
        <v/>
      </c>
      <c r="AB185" s="33">
        <f>Z185-AA185</f>
        <v/>
      </c>
      <c r="AC185" s="33">
        <f>IF('Your debts'!$F$10="",0,MIN(AB185,MAX(0,MAX(0,'Your debts'!$C$19-(G185+L185+Q185+V185+AA185+AF185+AK185+AP185+AU185+AZ185))-(IF(AND('Your debts'!$F$6&lt;&gt;"",'Your debts'!$F$10&lt;&gt;"",'Your debts'!$F$6&lt;'Your debts'!$F$10),H185,0)+IF(AND('Your debts'!$F$7&lt;&gt;"",'Your debts'!$F$10&lt;&gt;"",'Your debts'!$F$7&lt;'Your debts'!$F$10),M185,0)+IF(AND('Your debts'!$F$8&lt;&gt;"",'Your debts'!$F$10&lt;&gt;"",'Your debts'!$F$8&lt;'Your debts'!$F$10),R185,0)+IF(AND('Your debts'!$F$9&lt;&gt;"",'Your debts'!$F$10&lt;&gt;"",'Your debts'!$F$9&lt;'Your debts'!$F$10),W185,0)+IF(AND('Your debts'!$F$11&lt;&gt;"",'Your debts'!$F$10&lt;&gt;"",'Your debts'!$F$11&lt;'Your debts'!$F$10),AG185,0)+IF(AND('Your debts'!$F$12&lt;&gt;"",'Your debts'!$F$10&lt;&gt;"",'Your debts'!$F$12&lt;'Your debts'!$F$10),AL185,0)+IF(AND('Your debts'!$F$13&lt;&gt;"",'Your debts'!$F$10&lt;&gt;"",'Your debts'!$F$13&lt;'Your debts'!$F$10),AQ185,0)+IF(AND('Your debts'!$F$14&lt;&gt;"",'Your debts'!$F$10&lt;&gt;"",'Your debts'!$F$14&lt;'Your debts'!$F$10),AV185,0)+IF(AND('Your debts'!$F$15&lt;&gt;"",'Your debts'!$F$10&lt;&gt;"",'Your debts'!$F$15&lt;'Your debts'!$F$10),BA185,0)))))</f>
        <v/>
      </c>
      <c r="AD185" s="33">
        <f>AB185-AC185</f>
        <v/>
      </c>
      <c r="AE185" s="33">
        <f>IF(AI184&lt;=0,0,ROUND(AI184*(1+'Your debts'!$D$11/1200),2))</f>
        <v/>
      </c>
      <c r="AF185" s="33">
        <f>IF(AE185&lt;=0,0,MIN('Your debts'!$E$11,AE185))</f>
        <v/>
      </c>
      <c r="AG185" s="33">
        <f>AE185-AF185</f>
        <v/>
      </c>
      <c r="AH185" s="33">
        <f>IF('Your debts'!$F$11="",0,MIN(AG185,MAX(0,MAX(0,'Your debts'!$C$19-(G185+L185+Q185+V185+AA185+AF185+AK185+AP185+AU185+AZ185))-(IF(AND('Your debts'!$F$6&lt;&gt;"",'Your debts'!$F$11&lt;&gt;"",'Your debts'!$F$6&lt;'Your debts'!$F$11),H185,0)+IF(AND('Your debts'!$F$7&lt;&gt;"",'Your debts'!$F$11&lt;&gt;"",'Your debts'!$F$7&lt;'Your debts'!$F$11),M185,0)+IF(AND('Your debts'!$F$8&lt;&gt;"",'Your debts'!$F$11&lt;&gt;"",'Your debts'!$F$8&lt;'Your debts'!$F$11),R185,0)+IF(AND('Your debts'!$F$9&lt;&gt;"",'Your debts'!$F$11&lt;&gt;"",'Your debts'!$F$9&lt;'Your debts'!$F$11),W185,0)+IF(AND('Your debts'!$F$10&lt;&gt;"",'Your debts'!$F$11&lt;&gt;"",'Your debts'!$F$10&lt;'Your debts'!$F$11),AB185,0)+IF(AND('Your debts'!$F$12&lt;&gt;"",'Your debts'!$F$11&lt;&gt;"",'Your debts'!$F$12&lt;'Your debts'!$F$11),AL185,0)+IF(AND('Your debts'!$F$13&lt;&gt;"",'Your debts'!$F$11&lt;&gt;"",'Your debts'!$F$13&lt;'Your debts'!$F$11),AQ185,0)+IF(AND('Your debts'!$F$14&lt;&gt;"",'Your debts'!$F$11&lt;&gt;"",'Your debts'!$F$14&lt;'Your debts'!$F$11),AV185,0)+IF(AND('Your debts'!$F$15&lt;&gt;"",'Your debts'!$F$11&lt;&gt;"",'Your debts'!$F$15&lt;'Your debts'!$F$11),BA185,0)))))</f>
        <v/>
      </c>
      <c r="AI185" s="33">
        <f>AG185-AH185</f>
        <v/>
      </c>
      <c r="AJ185" s="33">
        <f>IF(AN184&lt;=0,0,ROUND(AN184*(1+'Your debts'!$D$12/1200),2))</f>
        <v/>
      </c>
      <c r="AK185" s="33">
        <f>IF(AJ185&lt;=0,0,MIN('Your debts'!$E$12,AJ185))</f>
        <v/>
      </c>
      <c r="AL185" s="33">
        <f>AJ185-AK185</f>
        <v/>
      </c>
      <c r="AM185" s="33">
        <f>IF('Your debts'!$F$12="",0,MIN(AL185,MAX(0,MAX(0,'Your debts'!$C$19-(G185+L185+Q185+V185+AA185+AF185+AK185+AP185+AU185+AZ185))-(IF(AND('Your debts'!$F$6&lt;&gt;"",'Your debts'!$F$12&lt;&gt;"",'Your debts'!$F$6&lt;'Your debts'!$F$12),H185,0)+IF(AND('Your debts'!$F$7&lt;&gt;"",'Your debts'!$F$12&lt;&gt;"",'Your debts'!$F$7&lt;'Your debts'!$F$12),M185,0)+IF(AND('Your debts'!$F$8&lt;&gt;"",'Your debts'!$F$12&lt;&gt;"",'Your debts'!$F$8&lt;'Your debts'!$F$12),R185,0)+IF(AND('Your debts'!$F$9&lt;&gt;"",'Your debts'!$F$12&lt;&gt;"",'Your debts'!$F$9&lt;'Your debts'!$F$12),W185,0)+IF(AND('Your debts'!$F$10&lt;&gt;"",'Your debts'!$F$12&lt;&gt;"",'Your debts'!$F$10&lt;'Your debts'!$F$12),AB185,0)+IF(AND('Your debts'!$F$11&lt;&gt;"",'Your debts'!$F$12&lt;&gt;"",'Your debts'!$F$11&lt;'Your debts'!$F$12),AG185,0)+IF(AND('Your debts'!$F$13&lt;&gt;"",'Your debts'!$F$12&lt;&gt;"",'Your debts'!$F$13&lt;'Your debts'!$F$12),AQ185,0)+IF(AND('Your debts'!$F$14&lt;&gt;"",'Your debts'!$F$12&lt;&gt;"",'Your debts'!$F$14&lt;'Your debts'!$F$12),AV185,0)+IF(AND('Your debts'!$F$15&lt;&gt;"",'Your debts'!$F$12&lt;&gt;"",'Your debts'!$F$15&lt;'Your debts'!$F$12),BA185,0)))))</f>
        <v/>
      </c>
      <c r="AN185" s="33">
        <f>AL185-AM185</f>
        <v/>
      </c>
      <c r="AO185" s="33">
        <f>IF(AS184&lt;=0,0,ROUND(AS184*(1+'Your debts'!$D$13/1200),2))</f>
        <v/>
      </c>
      <c r="AP185" s="33">
        <f>IF(AO185&lt;=0,0,MIN('Your debts'!$E$13,AO185))</f>
        <v/>
      </c>
      <c r="AQ185" s="33">
        <f>AO185-AP185</f>
        <v/>
      </c>
      <c r="AR185" s="33">
        <f>IF('Your debts'!$F$13="",0,MIN(AQ185,MAX(0,MAX(0,'Your debts'!$C$19-(G185+L185+Q185+V185+AA185+AF185+AK185+AP185+AU185+AZ185))-(IF(AND('Your debts'!$F$6&lt;&gt;"",'Your debts'!$F$13&lt;&gt;"",'Your debts'!$F$6&lt;'Your debts'!$F$13),H185,0)+IF(AND('Your debts'!$F$7&lt;&gt;"",'Your debts'!$F$13&lt;&gt;"",'Your debts'!$F$7&lt;'Your debts'!$F$13),M185,0)+IF(AND('Your debts'!$F$8&lt;&gt;"",'Your debts'!$F$13&lt;&gt;"",'Your debts'!$F$8&lt;'Your debts'!$F$13),R185,0)+IF(AND('Your debts'!$F$9&lt;&gt;"",'Your debts'!$F$13&lt;&gt;"",'Your debts'!$F$9&lt;'Your debts'!$F$13),W185,0)+IF(AND('Your debts'!$F$10&lt;&gt;"",'Your debts'!$F$13&lt;&gt;"",'Your debts'!$F$10&lt;'Your debts'!$F$13),AB185,0)+IF(AND('Your debts'!$F$11&lt;&gt;"",'Your debts'!$F$13&lt;&gt;"",'Your debts'!$F$11&lt;'Your debts'!$F$13),AG185,0)+IF(AND('Your debts'!$F$12&lt;&gt;"",'Your debts'!$F$13&lt;&gt;"",'Your debts'!$F$12&lt;'Your debts'!$F$13),AL185,0)+IF(AND('Your debts'!$F$14&lt;&gt;"",'Your debts'!$F$13&lt;&gt;"",'Your debts'!$F$14&lt;'Your debts'!$F$13),AV185,0)+IF(AND('Your debts'!$F$15&lt;&gt;"",'Your debts'!$F$13&lt;&gt;"",'Your debts'!$F$15&lt;'Your debts'!$F$13),BA185,0)))))</f>
        <v/>
      </c>
      <c r="AS185" s="33">
        <f>AQ185-AR185</f>
        <v/>
      </c>
      <c r="AT185" s="33">
        <f>IF(AX184&lt;=0,0,ROUND(AX184*(1+'Your debts'!$D$14/1200),2))</f>
        <v/>
      </c>
      <c r="AU185" s="33">
        <f>IF(AT185&lt;=0,0,MIN('Your debts'!$E$14,AT185))</f>
        <v/>
      </c>
      <c r="AV185" s="33">
        <f>AT185-AU185</f>
        <v/>
      </c>
      <c r="AW185" s="33">
        <f>IF('Your debts'!$F$14="",0,MIN(AV185,MAX(0,MAX(0,'Your debts'!$C$19-(G185+L185+Q185+V185+AA185+AF185+AK185+AP185+AU185+AZ185))-(IF(AND('Your debts'!$F$6&lt;&gt;"",'Your debts'!$F$14&lt;&gt;"",'Your debts'!$F$6&lt;'Your debts'!$F$14),H185,0)+IF(AND('Your debts'!$F$7&lt;&gt;"",'Your debts'!$F$14&lt;&gt;"",'Your debts'!$F$7&lt;'Your debts'!$F$14),M185,0)+IF(AND('Your debts'!$F$8&lt;&gt;"",'Your debts'!$F$14&lt;&gt;"",'Your debts'!$F$8&lt;'Your debts'!$F$14),R185,0)+IF(AND('Your debts'!$F$9&lt;&gt;"",'Your debts'!$F$14&lt;&gt;"",'Your debts'!$F$9&lt;'Your debts'!$F$14),W185,0)+IF(AND('Your debts'!$F$10&lt;&gt;"",'Your debts'!$F$14&lt;&gt;"",'Your debts'!$F$10&lt;'Your debts'!$F$14),AB185,0)+IF(AND('Your debts'!$F$11&lt;&gt;"",'Your debts'!$F$14&lt;&gt;"",'Your debts'!$F$11&lt;'Your debts'!$F$14),AG185,0)+IF(AND('Your debts'!$F$12&lt;&gt;"",'Your debts'!$F$14&lt;&gt;"",'Your debts'!$F$12&lt;'Your debts'!$F$14),AL185,0)+IF(AND('Your debts'!$F$13&lt;&gt;"",'Your debts'!$F$14&lt;&gt;"",'Your debts'!$F$13&lt;'Your debts'!$F$14),AQ185,0)+IF(AND('Your debts'!$F$15&lt;&gt;"",'Your debts'!$F$14&lt;&gt;"",'Your debts'!$F$15&lt;'Your debts'!$F$14),BA185,0)))))</f>
        <v/>
      </c>
      <c r="AX185" s="33">
        <f>AV185-AW185</f>
        <v/>
      </c>
      <c r="AY185" s="33">
        <f>IF(BC184&lt;=0,0,ROUND(BC184*(1+'Your debts'!$D$15/1200),2))</f>
        <v/>
      </c>
      <c r="AZ185" s="33">
        <f>IF(AY185&lt;=0,0,MIN('Your debts'!$E$15,AY185))</f>
        <v/>
      </c>
      <c r="BA185" s="33">
        <f>AY185-AZ185</f>
        <v/>
      </c>
      <c r="BB185" s="33">
        <f>IF('Your debts'!$F$15="",0,MIN(BA185,MAX(0,MAX(0,'Your debts'!$C$19-(G185+L185+Q185+V185+AA185+AF185+AK185+AP185+AU185+AZ185))-(IF(AND('Your debts'!$F$6&lt;&gt;"",'Your debts'!$F$15&lt;&gt;"",'Your debts'!$F$6&lt;'Your debts'!$F$15),H185,0)+IF(AND('Your debts'!$F$7&lt;&gt;"",'Your debts'!$F$15&lt;&gt;"",'Your debts'!$F$7&lt;'Your debts'!$F$15),M185,0)+IF(AND('Your debts'!$F$8&lt;&gt;"",'Your debts'!$F$15&lt;&gt;"",'Your debts'!$F$8&lt;'Your debts'!$F$15),R185,0)+IF(AND('Your debts'!$F$9&lt;&gt;"",'Your debts'!$F$15&lt;&gt;"",'Your debts'!$F$9&lt;'Your debts'!$F$15),W185,0)+IF(AND('Your debts'!$F$10&lt;&gt;"",'Your debts'!$F$15&lt;&gt;"",'Your debts'!$F$10&lt;'Your debts'!$F$15),AB185,0)+IF(AND('Your debts'!$F$11&lt;&gt;"",'Your debts'!$F$15&lt;&gt;"",'Your debts'!$F$11&lt;'Your debts'!$F$15),AG185,0)+IF(AND('Your debts'!$F$12&lt;&gt;"",'Your debts'!$F$15&lt;&gt;"",'Your debts'!$F$12&lt;'Your debts'!$F$15),AL185,0)+IF(AND('Your debts'!$F$13&lt;&gt;"",'Your debts'!$F$15&lt;&gt;"",'Your debts'!$F$13&lt;'Your debts'!$F$15),AQ185,0)+IF(AND('Your debts'!$F$14&lt;&gt;"",'Your debts'!$F$15&lt;&gt;"",'Your debts'!$F$14&lt;'Your debts'!$F$15),AV185,0)))))</f>
        <v/>
      </c>
      <c r="BC185" s="33">
        <f>BA185-BB185</f>
        <v/>
      </c>
    </row>
    <row r="186">
      <c r="A186" s="30" t="n">
        <v>171</v>
      </c>
      <c r="B186" s="31">
        <f>EDATE($B$15,171)</f>
        <v/>
      </c>
      <c r="C186" s="32">
        <f>IF(J185&lt;=0,0,F186-J185)+IF(O185&lt;=0,0,K186-O185)+IF(T185&lt;=0,0,P186-T185)+IF(Y185&lt;=0,0,U186-Y185)+IF(AD185&lt;=0,0,Z186-AD185)+IF(AI185&lt;=0,0,AE186-AI185)+IF(AN185&lt;=0,0,AJ186-AN185)+IF(AS185&lt;=0,0,AO186-AS185)+IF(AX185&lt;=0,0,AT186-AX185)+IF(BC185&lt;=0,0,AY186-BC185)</f>
        <v/>
      </c>
      <c r="D186" s="32">
        <f>G186+I186+L186+N186+Q186+S186+V186+X186+AA186+AC186+AF186+AH186+AK186+AM186+AP186+AR186+AU186+AW186+AZ186+BB186</f>
        <v/>
      </c>
      <c r="E186" s="32">
        <f>J186+O186+T186+Y186+AD186+AI186+AN186+AS186+AX186+BC186</f>
        <v/>
      </c>
      <c r="F186" s="33">
        <f>IF(J185&lt;=0,0,ROUND(J185*(1+'Your debts'!$D$6/1200),2))</f>
        <v/>
      </c>
      <c r="G186" s="33">
        <f>IF(F186&lt;=0,0,MIN('Your debts'!$E$6,F186))</f>
        <v/>
      </c>
      <c r="H186" s="33">
        <f>F186-G186</f>
        <v/>
      </c>
      <c r="I186" s="33">
        <f>IF('Your debts'!$F$6="",0,MIN(H186,MAX(0,MAX(0,'Your debts'!$C$19-(G186+L186+Q186+V186+AA186+AF186+AK186+AP186+AU186+AZ186))-(IF(AND('Your debts'!$F$7&lt;&gt;"",'Your debts'!$F$6&lt;&gt;"",'Your debts'!$F$7&lt;'Your debts'!$F$6),M186,0)+IF(AND('Your debts'!$F$8&lt;&gt;"",'Your debts'!$F$6&lt;&gt;"",'Your debts'!$F$8&lt;'Your debts'!$F$6),R186,0)+IF(AND('Your debts'!$F$9&lt;&gt;"",'Your debts'!$F$6&lt;&gt;"",'Your debts'!$F$9&lt;'Your debts'!$F$6),W186,0)+IF(AND('Your debts'!$F$10&lt;&gt;"",'Your debts'!$F$6&lt;&gt;"",'Your debts'!$F$10&lt;'Your debts'!$F$6),AB186,0)+IF(AND('Your debts'!$F$11&lt;&gt;"",'Your debts'!$F$6&lt;&gt;"",'Your debts'!$F$11&lt;'Your debts'!$F$6),AG186,0)+IF(AND('Your debts'!$F$12&lt;&gt;"",'Your debts'!$F$6&lt;&gt;"",'Your debts'!$F$12&lt;'Your debts'!$F$6),AL186,0)+IF(AND('Your debts'!$F$13&lt;&gt;"",'Your debts'!$F$6&lt;&gt;"",'Your debts'!$F$13&lt;'Your debts'!$F$6),AQ186,0)+IF(AND('Your debts'!$F$14&lt;&gt;"",'Your debts'!$F$6&lt;&gt;"",'Your debts'!$F$14&lt;'Your debts'!$F$6),AV186,0)+IF(AND('Your debts'!$F$15&lt;&gt;"",'Your debts'!$F$6&lt;&gt;"",'Your debts'!$F$15&lt;'Your debts'!$F$6),BA186,0)))))</f>
        <v/>
      </c>
      <c r="J186" s="33">
        <f>H186-I186</f>
        <v/>
      </c>
      <c r="K186" s="33">
        <f>IF(O185&lt;=0,0,ROUND(O185*(1+'Your debts'!$D$7/1200),2))</f>
        <v/>
      </c>
      <c r="L186" s="33">
        <f>IF(K186&lt;=0,0,MIN('Your debts'!$E$7,K186))</f>
        <v/>
      </c>
      <c r="M186" s="33">
        <f>K186-L186</f>
        <v/>
      </c>
      <c r="N186" s="33">
        <f>IF('Your debts'!$F$7="",0,MIN(M186,MAX(0,MAX(0,'Your debts'!$C$19-(G186+L186+Q186+V186+AA186+AF186+AK186+AP186+AU186+AZ186))-(IF(AND('Your debts'!$F$6&lt;&gt;"",'Your debts'!$F$7&lt;&gt;"",'Your debts'!$F$6&lt;'Your debts'!$F$7),H186,0)+IF(AND('Your debts'!$F$8&lt;&gt;"",'Your debts'!$F$7&lt;&gt;"",'Your debts'!$F$8&lt;'Your debts'!$F$7),R186,0)+IF(AND('Your debts'!$F$9&lt;&gt;"",'Your debts'!$F$7&lt;&gt;"",'Your debts'!$F$9&lt;'Your debts'!$F$7),W186,0)+IF(AND('Your debts'!$F$10&lt;&gt;"",'Your debts'!$F$7&lt;&gt;"",'Your debts'!$F$10&lt;'Your debts'!$F$7),AB186,0)+IF(AND('Your debts'!$F$11&lt;&gt;"",'Your debts'!$F$7&lt;&gt;"",'Your debts'!$F$11&lt;'Your debts'!$F$7),AG186,0)+IF(AND('Your debts'!$F$12&lt;&gt;"",'Your debts'!$F$7&lt;&gt;"",'Your debts'!$F$12&lt;'Your debts'!$F$7),AL186,0)+IF(AND('Your debts'!$F$13&lt;&gt;"",'Your debts'!$F$7&lt;&gt;"",'Your debts'!$F$13&lt;'Your debts'!$F$7),AQ186,0)+IF(AND('Your debts'!$F$14&lt;&gt;"",'Your debts'!$F$7&lt;&gt;"",'Your debts'!$F$14&lt;'Your debts'!$F$7),AV186,0)+IF(AND('Your debts'!$F$15&lt;&gt;"",'Your debts'!$F$7&lt;&gt;"",'Your debts'!$F$15&lt;'Your debts'!$F$7),BA186,0)))))</f>
        <v/>
      </c>
      <c r="O186" s="33">
        <f>M186-N186</f>
        <v/>
      </c>
      <c r="P186" s="33">
        <f>IF(T185&lt;=0,0,ROUND(T185*(1+'Your debts'!$D$8/1200),2))</f>
        <v/>
      </c>
      <c r="Q186" s="33">
        <f>IF(P186&lt;=0,0,MIN('Your debts'!$E$8,P186))</f>
        <v/>
      </c>
      <c r="R186" s="33">
        <f>P186-Q186</f>
        <v/>
      </c>
      <c r="S186" s="33">
        <f>IF('Your debts'!$F$8="",0,MIN(R186,MAX(0,MAX(0,'Your debts'!$C$19-(G186+L186+Q186+V186+AA186+AF186+AK186+AP186+AU186+AZ186))-(IF(AND('Your debts'!$F$6&lt;&gt;"",'Your debts'!$F$8&lt;&gt;"",'Your debts'!$F$6&lt;'Your debts'!$F$8),H186,0)+IF(AND('Your debts'!$F$7&lt;&gt;"",'Your debts'!$F$8&lt;&gt;"",'Your debts'!$F$7&lt;'Your debts'!$F$8),M186,0)+IF(AND('Your debts'!$F$9&lt;&gt;"",'Your debts'!$F$8&lt;&gt;"",'Your debts'!$F$9&lt;'Your debts'!$F$8),W186,0)+IF(AND('Your debts'!$F$10&lt;&gt;"",'Your debts'!$F$8&lt;&gt;"",'Your debts'!$F$10&lt;'Your debts'!$F$8),AB186,0)+IF(AND('Your debts'!$F$11&lt;&gt;"",'Your debts'!$F$8&lt;&gt;"",'Your debts'!$F$11&lt;'Your debts'!$F$8),AG186,0)+IF(AND('Your debts'!$F$12&lt;&gt;"",'Your debts'!$F$8&lt;&gt;"",'Your debts'!$F$12&lt;'Your debts'!$F$8),AL186,0)+IF(AND('Your debts'!$F$13&lt;&gt;"",'Your debts'!$F$8&lt;&gt;"",'Your debts'!$F$13&lt;'Your debts'!$F$8),AQ186,0)+IF(AND('Your debts'!$F$14&lt;&gt;"",'Your debts'!$F$8&lt;&gt;"",'Your debts'!$F$14&lt;'Your debts'!$F$8),AV186,0)+IF(AND('Your debts'!$F$15&lt;&gt;"",'Your debts'!$F$8&lt;&gt;"",'Your debts'!$F$15&lt;'Your debts'!$F$8),BA186,0)))))</f>
        <v/>
      </c>
      <c r="T186" s="33">
        <f>R186-S186</f>
        <v/>
      </c>
      <c r="U186" s="33">
        <f>IF(Y185&lt;=0,0,ROUND(Y185*(1+'Your debts'!$D$9/1200),2))</f>
        <v/>
      </c>
      <c r="V186" s="33">
        <f>IF(U186&lt;=0,0,MIN('Your debts'!$E$9,U186))</f>
        <v/>
      </c>
      <c r="W186" s="33">
        <f>U186-V186</f>
        <v/>
      </c>
      <c r="X186" s="33">
        <f>IF('Your debts'!$F$9="",0,MIN(W186,MAX(0,MAX(0,'Your debts'!$C$19-(G186+L186+Q186+V186+AA186+AF186+AK186+AP186+AU186+AZ186))-(IF(AND('Your debts'!$F$6&lt;&gt;"",'Your debts'!$F$9&lt;&gt;"",'Your debts'!$F$6&lt;'Your debts'!$F$9),H186,0)+IF(AND('Your debts'!$F$7&lt;&gt;"",'Your debts'!$F$9&lt;&gt;"",'Your debts'!$F$7&lt;'Your debts'!$F$9),M186,0)+IF(AND('Your debts'!$F$8&lt;&gt;"",'Your debts'!$F$9&lt;&gt;"",'Your debts'!$F$8&lt;'Your debts'!$F$9),R186,0)+IF(AND('Your debts'!$F$10&lt;&gt;"",'Your debts'!$F$9&lt;&gt;"",'Your debts'!$F$10&lt;'Your debts'!$F$9),AB186,0)+IF(AND('Your debts'!$F$11&lt;&gt;"",'Your debts'!$F$9&lt;&gt;"",'Your debts'!$F$11&lt;'Your debts'!$F$9),AG186,0)+IF(AND('Your debts'!$F$12&lt;&gt;"",'Your debts'!$F$9&lt;&gt;"",'Your debts'!$F$12&lt;'Your debts'!$F$9),AL186,0)+IF(AND('Your debts'!$F$13&lt;&gt;"",'Your debts'!$F$9&lt;&gt;"",'Your debts'!$F$13&lt;'Your debts'!$F$9),AQ186,0)+IF(AND('Your debts'!$F$14&lt;&gt;"",'Your debts'!$F$9&lt;&gt;"",'Your debts'!$F$14&lt;'Your debts'!$F$9),AV186,0)+IF(AND('Your debts'!$F$15&lt;&gt;"",'Your debts'!$F$9&lt;&gt;"",'Your debts'!$F$15&lt;'Your debts'!$F$9),BA186,0)))))</f>
        <v/>
      </c>
      <c r="Y186" s="33">
        <f>W186-X186</f>
        <v/>
      </c>
      <c r="Z186" s="33">
        <f>IF(AD185&lt;=0,0,ROUND(AD185*(1+'Your debts'!$D$10/1200),2))</f>
        <v/>
      </c>
      <c r="AA186" s="33">
        <f>IF(Z186&lt;=0,0,MIN('Your debts'!$E$10,Z186))</f>
        <v/>
      </c>
      <c r="AB186" s="33">
        <f>Z186-AA186</f>
        <v/>
      </c>
      <c r="AC186" s="33">
        <f>IF('Your debts'!$F$10="",0,MIN(AB186,MAX(0,MAX(0,'Your debts'!$C$19-(G186+L186+Q186+V186+AA186+AF186+AK186+AP186+AU186+AZ186))-(IF(AND('Your debts'!$F$6&lt;&gt;"",'Your debts'!$F$10&lt;&gt;"",'Your debts'!$F$6&lt;'Your debts'!$F$10),H186,0)+IF(AND('Your debts'!$F$7&lt;&gt;"",'Your debts'!$F$10&lt;&gt;"",'Your debts'!$F$7&lt;'Your debts'!$F$10),M186,0)+IF(AND('Your debts'!$F$8&lt;&gt;"",'Your debts'!$F$10&lt;&gt;"",'Your debts'!$F$8&lt;'Your debts'!$F$10),R186,0)+IF(AND('Your debts'!$F$9&lt;&gt;"",'Your debts'!$F$10&lt;&gt;"",'Your debts'!$F$9&lt;'Your debts'!$F$10),W186,0)+IF(AND('Your debts'!$F$11&lt;&gt;"",'Your debts'!$F$10&lt;&gt;"",'Your debts'!$F$11&lt;'Your debts'!$F$10),AG186,0)+IF(AND('Your debts'!$F$12&lt;&gt;"",'Your debts'!$F$10&lt;&gt;"",'Your debts'!$F$12&lt;'Your debts'!$F$10),AL186,0)+IF(AND('Your debts'!$F$13&lt;&gt;"",'Your debts'!$F$10&lt;&gt;"",'Your debts'!$F$13&lt;'Your debts'!$F$10),AQ186,0)+IF(AND('Your debts'!$F$14&lt;&gt;"",'Your debts'!$F$10&lt;&gt;"",'Your debts'!$F$14&lt;'Your debts'!$F$10),AV186,0)+IF(AND('Your debts'!$F$15&lt;&gt;"",'Your debts'!$F$10&lt;&gt;"",'Your debts'!$F$15&lt;'Your debts'!$F$10),BA186,0)))))</f>
        <v/>
      </c>
      <c r="AD186" s="33">
        <f>AB186-AC186</f>
        <v/>
      </c>
      <c r="AE186" s="33">
        <f>IF(AI185&lt;=0,0,ROUND(AI185*(1+'Your debts'!$D$11/1200),2))</f>
        <v/>
      </c>
      <c r="AF186" s="33">
        <f>IF(AE186&lt;=0,0,MIN('Your debts'!$E$11,AE186))</f>
        <v/>
      </c>
      <c r="AG186" s="33">
        <f>AE186-AF186</f>
        <v/>
      </c>
      <c r="AH186" s="33">
        <f>IF('Your debts'!$F$11="",0,MIN(AG186,MAX(0,MAX(0,'Your debts'!$C$19-(G186+L186+Q186+V186+AA186+AF186+AK186+AP186+AU186+AZ186))-(IF(AND('Your debts'!$F$6&lt;&gt;"",'Your debts'!$F$11&lt;&gt;"",'Your debts'!$F$6&lt;'Your debts'!$F$11),H186,0)+IF(AND('Your debts'!$F$7&lt;&gt;"",'Your debts'!$F$11&lt;&gt;"",'Your debts'!$F$7&lt;'Your debts'!$F$11),M186,0)+IF(AND('Your debts'!$F$8&lt;&gt;"",'Your debts'!$F$11&lt;&gt;"",'Your debts'!$F$8&lt;'Your debts'!$F$11),R186,0)+IF(AND('Your debts'!$F$9&lt;&gt;"",'Your debts'!$F$11&lt;&gt;"",'Your debts'!$F$9&lt;'Your debts'!$F$11),W186,0)+IF(AND('Your debts'!$F$10&lt;&gt;"",'Your debts'!$F$11&lt;&gt;"",'Your debts'!$F$10&lt;'Your debts'!$F$11),AB186,0)+IF(AND('Your debts'!$F$12&lt;&gt;"",'Your debts'!$F$11&lt;&gt;"",'Your debts'!$F$12&lt;'Your debts'!$F$11),AL186,0)+IF(AND('Your debts'!$F$13&lt;&gt;"",'Your debts'!$F$11&lt;&gt;"",'Your debts'!$F$13&lt;'Your debts'!$F$11),AQ186,0)+IF(AND('Your debts'!$F$14&lt;&gt;"",'Your debts'!$F$11&lt;&gt;"",'Your debts'!$F$14&lt;'Your debts'!$F$11),AV186,0)+IF(AND('Your debts'!$F$15&lt;&gt;"",'Your debts'!$F$11&lt;&gt;"",'Your debts'!$F$15&lt;'Your debts'!$F$11),BA186,0)))))</f>
        <v/>
      </c>
      <c r="AI186" s="33">
        <f>AG186-AH186</f>
        <v/>
      </c>
      <c r="AJ186" s="33">
        <f>IF(AN185&lt;=0,0,ROUND(AN185*(1+'Your debts'!$D$12/1200),2))</f>
        <v/>
      </c>
      <c r="AK186" s="33">
        <f>IF(AJ186&lt;=0,0,MIN('Your debts'!$E$12,AJ186))</f>
        <v/>
      </c>
      <c r="AL186" s="33">
        <f>AJ186-AK186</f>
        <v/>
      </c>
      <c r="AM186" s="33">
        <f>IF('Your debts'!$F$12="",0,MIN(AL186,MAX(0,MAX(0,'Your debts'!$C$19-(G186+L186+Q186+V186+AA186+AF186+AK186+AP186+AU186+AZ186))-(IF(AND('Your debts'!$F$6&lt;&gt;"",'Your debts'!$F$12&lt;&gt;"",'Your debts'!$F$6&lt;'Your debts'!$F$12),H186,0)+IF(AND('Your debts'!$F$7&lt;&gt;"",'Your debts'!$F$12&lt;&gt;"",'Your debts'!$F$7&lt;'Your debts'!$F$12),M186,0)+IF(AND('Your debts'!$F$8&lt;&gt;"",'Your debts'!$F$12&lt;&gt;"",'Your debts'!$F$8&lt;'Your debts'!$F$12),R186,0)+IF(AND('Your debts'!$F$9&lt;&gt;"",'Your debts'!$F$12&lt;&gt;"",'Your debts'!$F$9&lt;'Your debts'!$F$12),W186,0)+IF(AND('Your debts'!$F$10&lt;&gt;"",'Your debts'!$F$12&lt;&gt;"",'Your debts'!$F$10&lt;'Your debts'!$F$12),AB186,0)+IF(AND('Your debts'!$F$11&lt;&gt;"",'Your debts'!$F$12&lt;&gt;"",'Your debts'!$F$11&lt;'Your debts'!$F$12),AG186,0)+IF(AND('Your debts'!$F$13&lt;&gt;"",'Your debts'!$F$12&lt;&gt;"",'Your debts'!$F$13&lt;'Your debts'!$F$12),AQ186,0)+IF(AND('Your debts'!$F$14&lt;&gt;"",'Your debts'!$F$12&lt;&gt;"",'Your debts'!$F$14&lt;'Your debts'!$F$12),AV186,0)+IF(AND('Your debts'!$F$15&lt;&gt;"",'Your debts'!$F$12&lt;&gt;"",'Your debts'!$F$15&lt;'Your debts'!$F$12),BA186,0)))))</f>
        <v/>
      </c>
      <c r="AN186" s="33">
        <f>AL186-AM186</f>
        <v/>
      </c>
      <c r="AO186" s="33">
        <f>IF(AS185&lt;=0,0,ROUND(AS185*(1+'Your debts'!$D$13/1200),2))</f>
        <v/>
      </c>
      <c r="AP186" s="33">
        <f>IF(AO186&lt;=0,0,MIN('Your debts'!$E$13,AO186))</f>
        <v/>
      </c>
      <c r="AQ186" s="33">
        <f>AO186-AP186</f>
        <v/>
      </c>
      <c r="AR186" s="33">
        <f>IF('Your debts'!$F$13="",0,MIN(AQ186,MAX(0,MAX(0,'Your debts'!$C$19-(G186+L186+Q186+V186+AA186+AF186+AK186+AP186+AU186+AZ186))-(IF(AND('Your debts'!$F$6&lt;&gt;"",'Your debts'!$F$13&lt;&gt;"",'Your debts'!$F$6&lt;'Your debts'!$F$13),H186,0)+IF(AND('Your debts'!$F$7&lt;&gt;"",'Your debts'!$F$13&lt;&gt;"",'Your debts'!$F$7&lt;'Your debts'!$F$13),M186,0)+IF(AND('Your debts'!$F$8&lt;&gt;"",'Your debts'!$F$13&lt;&gt;"",'Your debts'!$F$8&lt;'Your debts'!$F$13),R186,0)+IF(AND('Your debts'!$F$9&lt;&gt;"",'Your debts'!$F$13&lt;&gt;"",'Your debts'!$F$9&lt;'Your debts'!$F$13),W186,0)+IF(AND('Your debts'!$F$10&lt;&gt;"",'Your debts'!$F$13&lt;&gt;"",'Your debts'!$F$10&lt;'Your debts'!$F$13),AB186,0)+IF(AND('Your debts'!$F$11&lt;&gt;"",'Your debts'!$F$13&lt;&gt;"",'Your debts'!$F$11&lt;'Your debts'!$F$13),AG186,0)+IF(AND('Your debts'!$F$12&lt;&gt;"",'Your debts'!$F$13&lt;&gt;"",'Your debts'!$F$12&lt;'Your debts'!$F$13),AL186,0)+IF(AND('Your debts'!$F$14&lt;&gt;"",'Your debts'!$F$13&lt;&gt;"",'Your debts'!$F$14&lt;'Your debts'!$F$13),AV186,0)+IF(AND('Your debts'!$F$15&lt;&gt;"",'Your debts'!$F$13&lt;&gt;"",'Your debts'!$F$15&lt;'Your debts'!$F$13),BA186,0)))))</f>
        <v/>
      </c>
      <c r="AS186" s="33">
        <f>AQ186-AR186</f>
        <v/>
      </c>
      <c r="AT186" s="33">
        <f>IF(AX185&lt;=0,0,ROUND(AX185*(1+'Your debts'!$D$14/1200),2))</f>
        <v/>
      </c>
      <c r="AU186" s="33">
        <f>IF(AT186&lt;=0,0,MIN('Your debts'!$E$14,AT186))</f>
        <v/>
      </c>
      <c r="AV186" s="33">
        <f>AT186-AU186</f>
        <v/>
      </c>
      <c r="AW186" s="33">
        <f>IF('Your debts'!$F$14="",0,MIN(AV186,MAX(0,MAX(0,'Your debts'!$C$19-(G186+L186+Q186+V186+AA186+AF186+AK186+AP186+AU186+AZ186))-(IF(AND('Your debts'!$F$6&lt;&gt;"",'Your debts'!$F$14&lt;&gt;"",'Your debts'!$F$6&lt;'Your debts'!$F$14),H186,0)+IF(AND('Your debts'!$F$7&lt;&gt;"",'Your debts'!$F$14&lt;&gt;"",'Your debts'!$F$7&lt;'Your debts'!$F$14),M186,0)+IF(AND('Your debts'!$F$8&lt;&gt;"",'Your debts'!$F$14&lt;&gt;"",'Your debts'!$F$8&lt;'Your debts'!$F$14),R186,0)+IF(AND('Your debts'!$F$9&lt;&gt;"",'Your debts'!$F$14&lt;&gt;"",'Your debts'!$F$9&lt;'Your debts'!$F$14),W186,0)+IF(AND('Your debts'!$F$10&lt;&gt;"",'Your debts'!$F$14&lt;&gt;"",'Your debts'!$F$10&lt;'Your debts'!$F$14),AB186,0)+IF(AND('Your debts'!$F$11&lt;&gt;"",'Your debts'!$F$14&lt;&gt;"",'Your debts'!$F$11&lt;'Your debts'!$F$14),AG186,0)+IF(AND('Your debts'!$F$12&lt;&gt;"",'Your debts'!$F$14&lt;&gt;"",'Your debts'!$F$12&lt;'Your debts'!$F$14),AL186,0)+IF(AND('Your debts'!$F$13&lt;&gt;"",'Your debts'!$F$14&lt;&gt;"",'Your debts'!$F$13&lt;'Your debts'!$F$14),AQ186,0)+IF(AND('Your debts'!$F$15&lt;&gt;"",'Your debts'!$F$14&lt;&gt;"",'Your debts'!$F$15&lt;'Your debts'!$F$14),BA186,0)))))</f>
        <v/>
      </c>
      <c r="AX186" s="33">
        <f>AV186-AW186</f>
        <v/>
      </c>
      <c r="AY186" s="33">
        <f>IF(BC185&lt;=0,0,ROUND(BC185*(1+'Your debts'!$D$15/1200),2))</f>
        <v/>
      </c>
      <c r="AZ186" s="33">
        <f>IF(AY186&lt;=0,0,MIN('Your debts'!$E$15,AY186))</f>
        <v/>
      </c>
      <c r="BA186" s="33">
        <f>AY186-AZ186</f>
        <v/>
      </c>
      <c r="BB186" s="33">
        <f>IF('Your debts'!$F$15="",0,MIN(BA186,MAX(0,MAX(0,'Your debts'!$C$19-(G186+L186+Q186+V186+AA186+AF186+AK186+AP186+AU186+AZ186))-(IF(AND('Your debts'!$F$6&lt;&gt;"",'Your debts'!$F$15&lt;&gt;"",'Your debts'!$F$6&lt;'Your debts'!$F$15),H186,0)+IF(AND('Your debts'!$F$7&lt;&gt;"",'Your debts'!$F$15&lt;&gt;"",'Your debts'!$F$7&lt;'Your debts'!$F$15),M186,0)+IF(AND('Your debts'!$F$8&lt;&gt;"",'Your debts'!$F$15&lt;&gt;"",'Your debts'!$F$8&lt;'Your debts'!$F$15),R186,0)+IF(AND('Your debts'!$F$9&lt;&gt;"",'Your debts'!$F$15&lt;&gt;"",'Your debts'!$F$9&lt;'Your debts'!$F$15),W186,0)+IF(AND('Your debts'!$F$10&lt;&gt;"",'Your debts'!$F$15&lt;&gt;"",'Your debts'!$F$10&lt;'Your debts'!$F$15),AB186,0)+IF(AND('Your debts'!$F$11&lt;&gt;"",'Your debts'!$F$15&lt;&gt;"",'Your debts'!$F$11&lt;'Your debts'!$F$15),AG186,0)+IF(AND('Your debts'!$F$12&lt;&gt;"",'Your debts'!$F$15&lt;&gt;"",'Your debts'!$F$12&lt;'Your debts'!$F$15),AL186,0)+IF(AND('Your debts'!$F$13&lt;&gt;"",'Your debts'!$F$15&lt;&gt;"",'Your debts'!$F$13&lt;'Your debts'!$F$15),AQ186,0)+IF(AND('Your debts'!$F$14&lt;&gt;"",'Your debts'!$F$15&lt;&gt;"",'Your debts'!$F$14&lt;'Your debts'!$F$15),AV186,0)))))</f>
        <v/>
      </c>
      <c r="BC186" s="33">
        <f>BA186-BB186</f>
        <v/>
      </c>
    </row>
    <row r="187">
      <c r="A187" s="30" t="n">
        <v>172</v>
      </c>
      <c r="B187" s="31">
        <f>EDATE($B$15,172)</f>
        <v/>
      </c>
      <c r="C187" s="32">
        <f>IF(J186&lt;=0,0,F187-J186)+IF(O186&lt;=0,0,K187-O186)+IF(T186&lt;=0,0,P187-T186)+IF(Y186&lt;=0,0,U187-Y186)+IF(AD186&lt;=0,0,Z187-AD186)+IF(AI186&lt;=0,0,AE187-AI186)+IF(AN186&lt;=0,0,AJ187-AN186)+IF(AS186&lt;=0,0,AO187-AS186)+IF(AX186&lt;=0,0,AT187-AX186)+IF(BC186&lt;=0,0,AY187-BC186)</f>
        <v/>
      </c>
      <c r="D187" s="32">
        <f>G187+I187+L187+N187+Q187+S187+V187+X187+AA187+AC187+AF187+AH187+AK187+AM187+AP187+AR187+AU187+AW187+AZ187+BB187</f>
        <v/>
      </c>
      <c r="E187" s="32">
        <f>J187+O187+T187+Y187+AD187+AI187+AN187+AS187+AX187+BC187</f>
        <v/>
      </c>
      <c r="F187" s="33">
        <f>IF(J186&lt;=0,0,ROUND(J186*(1+'Your debts'!$D$6/1200),2))</f>
        <v/>
      </c>
      <c r="G187" s="33">
        <f>IF(F187&lt;=0,0,MIN('Your debts'!$E$6,F187))</f>
        <v/>
      </c>
      <c r="H187" s="33">
        <f>F187-G187</f>
        <v/>
      </c>
      <c r="I187" s="33">
        <f>IF('Your debts'!$F$6="",0,MIN(H187,MAX(0,MAX(0,'Your debts'!$C$19-(G187+L187+Q187+V187+AA187+AF187+AK187+AP187+AU187+AZ187))-(IF(AND('Your debts'!$F$7&lt;&gt;"",'Your debts'!$F$6&lt;&gt;"",'Your debts'!$F$7&lt;'Your debts'!$F$6),M187,0)+IF(AND('Your debts'!$F$8&lt;&gt;"",'Your debts'!$F$6&lt;&gt;"",'Your debts'!$F$8&lt;'Your debts'!$F$6),R187,0)+IF(AND('Your debts'!$F$9&lt;&gt;"",'Your debts'!$F$6&lt;&gt;"",'Your debts'!$F$9&lt;'Your debts'!$F$6),W187,0)+IF(AND('Your debts'!$F$10&lt;&gt;"",'Your debts'!$F$6&lt;&gt;"",'Your debts'!$F$10&lt;'Your debts'!$F$6),AB187,0)+IF(AND('Your debts'!$F$11&lt;&gt;"",'Your debts'!$F$6&lt;&gt;"",'Your debts'!$F$11&lt;'Your debts'!$F$6),AG187,0)+IF(AND('Your debts'!$F$12&lt;&gt;"",'Your debts'!$F$6&lt;&gt;"",'Your debts'!$F$12&lt;'Your debts'!$F$6),AL187,0)+IF(AND('Your debts'!$F$13&lt;&gt;"",'Your debts'!$F$6&lt;&gt;"",'Your debts'!$F$13&lt;'Your debts'!$F$6),AQ187,0)+IF(AND('Your debts'!$F$14&lt;&gt;"",'Your debts'!$F$6&lt;&gt;"",'Your debts'!$F$14&lt;'Your debts'!$F$6),AV187,0)+IF(AND('Your debts'!$F$15&lt;&gt;"",'Your debts'!$F$6&lt;&gt;"",'Your debts'!$F$15&lt;'Your debts'!$F$6),BA187,0)))))</f>
        <v/>
      </c>
      <c r="J187" s="33">
        <f>H187-I187</f>
        <v/>
      </c>
      <c r="K187" s="33">
        <f>IF(O186&lt;=0,0,ROUND(O186*(1+'Your debts'!$D$7/1200),2))</f>
        <v/>
      </c>
      <c r="L187" s="33">
        <f>IF(K187&lt;=0,0,MIN('Your debts'!$E$7,K187))</f>
        <v/>
      </c>
      <c r="M187" s="33">
        <f>K187-L187</f>
        <v/>
      </c>
      <c r="N187" s="33">
        <f>IF('Your debts'!$F$7="",0,MIN(M187,MAX(0,MAX(0,'Your debts'!$C$19-(G187+L187+Q187+V187+AA187+AF187+AK187+AP187+AU187+AZ187))-(IF(AND('Your debts'!$F$6&lt;&gt;"",'Your debts'!$F$7&lt;&gt;"",'Your debts'!$F$6&lt;'Your debts'!$F$7),H187,0)+IF(AND('Your debts'!$F$8&lt;&gt;"",'Your debts'!$F$7&lt;&gt;"",'Your debts'!$F$8&lt;'Your debts'!$F$7),R187,0)+IF(AND('Your debts'!$F$9&lt;&gt;"",'Your debts'!$F$7&lt;&gt;"",'Your debts'!$F$9&lt;'Your debts'!$F$7),W187,0)+IF(AND('Your debts'!$F$10&lt;&gt;"",'Your debts'!$F$7&lt;&gt;"",'Your debts'!$F$10&lt;'Your debts'!$F$7),AB187,0)+IF(AND('Your debts'!$F$11&lt;&gt;"",'Your debts'!$F$7&lt;&gt;"",'Your debts'!$F$11&lt;'Your debts'!$F$7),AG187,0)+IF(AND('Your debts'!$F$12&lt;&gt;"",'Your debts'!$F$7&lt;&gt;"",'Your debts'!$F$12&lt;'Your debts'!$F$7),AL187,0)+IF(AND('Your debts'!$F$13&lt;&gt;"",'Your debts'!$F$7&lt;&gt;"",'Your debts'!$F$13&lt;'Your debts'!$F$7),AQ187,0)+IF(AND('Your debts'!$F$14&lt;&gt;"",'Your debts'!$F$7&lt;&gt;"",'Your debts'!$F$14&lt;'Your debts'!$F$7),AV187,0)+IF(AND('Your debts'!$F$15&lt;&gt;"",'Your debts'!$F$7&lt;&gt;"",'Your debts'!$F$15&lt;'Your debts'!$F$7),BA187,0)))))</f>
        <v/>
      </c>
      <c r="O187" s="33">
        <f>M187-N187</f>
        <v/>
      </c>
      <c r="P187" s="33">
        <f>IF(T186&lt;=0,0,ROUND(T186*(1+'Your debts'!$D$8/1200),2))</f>
        <v/>
      </c>
      <c r="Q187" s="33">
        <f>IF(P187&lt;=0,0,MIN('Your debts'!$E$8,P187))</f>
        <v/>
      </c>
      <c r="R187" s="33">
        <f>P187-Q187</f>
        <v/>
      </c>
      <c r="S187" s="33">
        <f>IF('Your debts'!$F$8="",0,MIN(R187,MAX(0,MAX(0,'Your debts'!$C$19-(G187+L187+Q187+V187+AA187+AF187+AK187+AP187+AU187+AZ187))-(IF(AND('Your debts'!$F$6&lt;&gt;"",'Your debts'!$F$8&lt;&gt;"",'Your debts'!$F$6&lt;'Your debts'!$F$8),H187,0)+IF(AND('Your debts'!$F$7&lt;&gt;"",'Your debts'!$F$8&lt;&gt;"",'Your debts'!$F$7&lt;'Your debts'!$F$8),M187,0)+IF(AND('Your debts'!$F$9&lt;&gt;"",'Your debts'!$F$8&lt;&gt;"",'Your debts'!$F$9&lt;'Your debts'!$F$8),W187,0)+IF(AND('Your debts'!$F$10&lt;&gt;"",'Your debts'!$F$8&lt;&gt;"",'Your debts'!$F$10&lt;'Your debts'!$F$8),AB187,0)+IF(AND('Your debts'!$F$11&lt;&gt;"",'Your debts'!$F$8&lt;&gt;"",'Your debts'!$F$11&lt;'Your debts'!$F$8),AG187,0)+IF(AND('Your debts'!$F$12&lt;&gt;"",'Your debts'!$F$8&lt;&gt;"",'Your debts'!$F$12&lt;'Your debts'!$F$8),AL187,0)+IF(AND('Your debts'!$F$13&lt;&gt;"",'Your debts'!$F$8&lt;&gt;"",'Your debts'!$F$13&lt;'Your debts'!$F$8),AQ187,0)+IF(AND('Your debts'!$F$14&lt;&gt;"",'Your debts'!$F$8&lt;&gt;"",'Your debts'!$F$14&lt;'Your debts'!$F$8),AV187,0)+IF(AND('Your debts'!$F$15&lt;&gt;"",'Your debts'!$F$8&lt;&gt;"",'Your debts'!$F$15&lt;'Your debts'!$F$8),BA187,0)))))</f>
        <v/>
      </c>
      <c r="T187" s="33">
        <f>R187-S187</f>
        <v/>
      </c>
      <c r="U187" s="33">
        <f>IF(Y186&lt;=0,0,ROUND(Y186*(1+'Your debts'!$D$9/1200),2))</f>
        <v/>
      </c>
      <c r="V187" s="33">
        <f>IF(U187&lt;=0,0,MIN('Your debts'!$E$9,U187))</f>
        <v/>
      </c>
      <c r="W187" s="33">
        <f>U187-V187</f>
        <v/>
      </c>
      <c r="X187" s="33">
        <f>IF('Your debts'!$F$9="",0,MIN(W187,MAX(0,MAX(0,'Your debts'!$C$19-(G187+L187+Q187+V187+AA187+AF187+AK187+AP187+AU187+AZ187))-(IF(AND('Your debts'!$F$6&lt;&gt;"",'Your debts'!$F$9&lt;&gt;"",'Your debts'!$F$6&lt;'Your debts'!$F$9),H187,0)+IF(AND('Your debts'!$F$7&lt;&gt;"",'Your debts'!$F$9&lt;&gt;"",'Your debts'!$F$7&lt;'Your debts'!$F$9),M187,0)+IF(AND('Your debts'!$F$8&lt;&gt;"",'Your debts'!$F$9&lt;&gt;"",'Your debts'!$F$8&lt;'Your debts'!$F$9),R187,0)+IF(AND('Your debts'!$F$10&lt;&gt;"",'Your debts'!$F$9&lt;&gt;"",'Your debts'!$F$10&lt;'Your debts'!$F$9),AB187,0)+IF(AND('Your debts'!$F$11&lt;&gt;"",'Your debts'!$F$9&lt;&gt;"",'Your debts'!$F$11&lt;'Your debts'!$F$9),AG187,0)+IF(AND('Your debts'!$F$12&lt;&gt;"",'Your debts'!$F$9&lt;&gt;"",'Your debts'!$F$12&lt;'Your debts'!$F$9),AL187,0)+IF(AND('Your debts'!$F$13&lt;&gt;"",'Your debts'!$F$9&lt;&gt;"",'Your debts'!$F$13&lt;'Your debts'!$F$9),AQ187,0)+IF(AND('Your debts'!$F$14&lt;&gt;"",'Your debts'!$F$9&lt;&gt;"",'Your debts'!$F$14&lt;'Your debts'!$F$9),AV187,0)+IF(AND('Your debts'!$F$15&lt;&gt;"",'Your debts'!$F$9&lt;&gt;"",'Your debts'!$F$15&lt;'Your debts'!$F$9),BA187,0)))))</f>
        <v/>
      </c>
      <c r="Y187" s="33">
        <f>W187-X187</f>
        <v/>
      </c>
      <c r="Z187" s="33">
        <f>IF(AD186&lt;=0,0,ROUND(AD186*(1+'Your debts'!$D$10/1200),2))</f>
        <v/>
      </c>
      <c r="AA187" s="33">
        <f>IF(Z187&lt;=0,0,MIN('Your debts'!$E$10,Z187))</f>
        <v/>
      </c>
      <c r="AB187" s="33">
        <f>Z187-AA187</f>
        <v/>
      </c>
      <c r="AC187" s="33">
        <f>IF('Your debts'!$F$10="",0,MIN(AB187,MAX(0,MAX(0,'Your debts'!$C$19-(G187+L187+Q187+V187+AA187+AF187+AK187+AP187+AU187+AZ187))-(IF(AND('Your debts'!$F$6&lt;&gt;"",'Your debts'!$F$10&lt;&gt;"",'Your debts'!$F$6&lt;'Your debts'!$F$10),H187,0)+IF(AND('Your debts'!$F$7&lt;&gt;"",'Your debts'!$F$10&lt;&gt;"",'Your debts'!$F$7&lt;'Your debts'!$F$10),M187,0)+IF(AND('Your debts'!$F$8&lt;&gt;"",'Your debts'!$F$10&lt;&gt;"",'Your debts'!$F$8&lt;'Your debts'!$F$10),R187,0)+IF(AND('Your debts'!$F$9&lt;&gt;"",'Your debts'!$F$10&lt;&gt;"",'Your debts'!$F$9&lt;'Your debts'!$F$10),W187,0)+IF(AND('Your debts'!$F$11&lt;&gt;"",'Your debts'!$F$10&lt;&gt;"",'Your debts'!$F$11&lt;'Your debts'!$F$10),AG187,0)+IF(AND('Your debts'!$F$12&lt;&gt;"",'Your debts'!$F$10&lt;&gt;"",'Your debts'!$F$12&lt;'Your debts'!$F$10),AL187,0)+IF(AND('Your debts'!$F$13&lt;&gt;"",'Your debts'!$F$10&lt;&gt;"",'Your debts'!$F$13&lt;'Your debts'!$F$10),AQ187,0)+IF(AND('Your debts'!$F$14&lt;&gt;"",'Your debts'!$F$10&lt;&gt;"",'Your debts'!$F$14&lt;'Your debts'!$F$10),AV187,0)+IF(AND('Your debts'!$F$15&lt;&gt;"",'Your debts'!$F$10&lt;&gt;"",'Your debts'!$F$15&lt;'Your debts'!$F$10),BA187,0)))))</f>
        <v/>
      </c>
      <c r="AD187" s="33">
        <f>AB187-AC187</f>
        <v/>
      </c>
      <c r="AE187" s="33">
        <f>IF(AI186&lt;=0,0,ROUND(AI186*(1+'Your debts'!$D$11/1200),2))</f>
        <v/>
      </c>
      <c r="AF187" s="33">
        <f>IF(AE187&lt;=0,0,MIN('Your debts'!$E$11,AE187))</f>
        <v/>
      </c>
      <c r="AG187" s="33">
        <f>AE187-AF187</f>
        <v/>
      </c>
      <c r="AH187" s="33">
        <f>IF('Your debts'!$F$11="",0,MIN(AG187,MAX(0,MAX(0,'Your debts'!$C$19-(G187+L187+Q187+V187+AA187+AF187+AK187+AP187+AU187+AZ187))-(IF(AND('Your debts'!$F$6&lt;&gt;"",'Your debts'!$F$11&lt;&gt;"",'Your debts'!$F$6&lt;'Your debts'!$F$11),H187,0)+IF(AND('Your debts'!$F$7&lt;&gt;"",'Your debts'!$F$11&lt;&gt;"",'Your debts'!$F$7&lt;'Your debts'!$F$11),M187,0)+IF(AND('Your debts'!$F$8&lt;&gt;"",'Your debts'!$F$11&lt;&gt;"",'Your debts'!$F$8&lt;'Your debts'!$F$11),R187,0)+IF(AND('Your debts'!$F$9&lt;&gt;"",'Your debts'!$F$11&lt;&gt;"",'Your debts'!$F$9&lt;'Your debts'!$F$11),W187,0)+IF(AND('Your debts'!$F$10&lt;&gt;"",'Your debts'!$F$11&lt;&gt;"",'Your debts'!$F$10&lt;'Your debts'!$F$11),AB187,0)+IF(AND('Your debts'!$F$12&lt;&gt;"",'Your debts'!$F$11&lt;&gt;"",'Your debts'!$F$12&lt;'Your debts'!$F$11),AL187,0)+IF(AND('Your debts'!$F$13&lt;&gt;"",'Your debts'!$F$11&lt;&gt;"",'Your debts'!$F$13&lt;'Your debts'!$F$11),AQ187,0)+IF(AND('Your debts'!$F$14&lt;&gt;"",'Your debts'!$F$11&lt;&gt;"",'Your debts'!$F$14&lt;'Your debts'!$F$11),AV187,0)+IF(AND('Your debts'!$F$15&lt;&gt;"",'Your debts'!$F$11&lt;&gt;"",'Your debts'!$F$15&lt;'Your debts'!$F$11),BA187,0)))))</f>
        <v/>
      </c>
      <c r="AI187" s="33">
        <f>AG187-AH187</f>
        <v/>
      </c>
      <c r="AJ187" s="33">
        <f>IF(AN186&lt;=0,0,ROUND(AN186*(1+'Your debts'!$D$12/1200),2))</f>
        <v/>
      </c>
      <c r="AK187" s="33">
        <f>IF(AJ187&lt;=0,0,MIN('Your debts'!$E$12,AJ187))</f>
        <v/>
      </c>
      <c r="AL187" s="33">
        <f>AJ187-AK187</f>
        <v/>
      </c>
      <c r="AM187" s="33">
        <f>IF('Your debts'!$F$12="",0,MIN(AL187,MAX(0,MAX(0,'Your debts'!$C$19-(G187+L187+Q187+V187+AA187+AF187+AK187+AP187+AU187+AZ187))-(IF(AND('Your debts'!$F$6&lt;&gt;"",'Your debts'!$F$12&lt;&gt;"",'Your debts'!$F$6&lt;'Your debts'!$F$12),H187,0)+IF(AND('Your debts'!$F$7&lt;&gt;"",'Your debts'!$F$12&lt;&gt;"",'Your debts'!$F$7&lt;'Your debts'!$F$12),M187,0)+IF(AND('Your debts'!$F$8&lt;&gt;"",'Your debts'!$F$12&lt;&gt;"",'Your debts'!$F$8&lt;'Your debts'!$F$12),R187,0)+IF(AND('Your debts'!$F$9&lt;&gt;"",'Your debts'!$F$12&lt;&gt;"",'Your debts'!$F$9&lt;'Your debts'!$F$12),W187,0)+IF(AND('Your debts'!$F$10&lt;&gt;"",'Your debts'!$F$12&lt;&gt;"",'Your debts'!$F$10&lt;'Your debts'!$F$12),AB187,0)+IF(AND('Your debts'!$F$11&lt;&gt;"",'Your debts'!$F$12&lt;&gt;"",'Your debts'!$F$11&lt;'Your debts'!$F$12),AG187,0)+IF(AND('Your debts'!$F$13&lt;&gt;"",'Your debts'!$F$12&lt;&gt;"",'Your debts'!$F$13&lt;'Your debts'!$F$12),AQ187,0)+IF(AND('Your debts'!$F$14&lt;&gt;"",'Your debts'!$F$12&lt;&gt;"",'Your debts'!$F$14&lt;'Your debts'!$F$12),AV187,0)+IF(AND('Your debts'!$F$15&lt;&gt;"",'Your debts'!$F$12&lt;&gt;"",'Your debts'!$F$15&lt;'Your debts'!$F$12),BA187,0)))))</f>
        <v/>
      </c>
      <c r="AN187" s="33">
        <f>AL187-AM187</f>
        <v/>
      </c>
      <c r="AO187" s="33">
        <f>IF(AS186&lt;=0,0,ROUND(AS186*(1+'Your debts'!$D$13/1200),2))</f>
        <v/>
      </c>
      <c r="AP187" s="33">
        <f>IF(AO187&lt;=0,0,MIN('Your debts'!$E$13,AO187))</f>
        <v/>
      </c>
      <c r="AQ187" s="33">
        <f>AO187-AP187</f>
        <v/>
      </c>
      <c r="AR187" s="33">
        <f>IF('Your debts'!$F$13="",0,MIN(AQ187,MAX(0,MAX(0,'Your debts'!$C$19-(G187+L187+Q187+V187+AA187+AF187+AK187+AP187+AU187+AZ187))-(IF(AND('Your debts'!$F$6&lt;&gt;"",'Your debts'!$F$13&lt;&gt;"",'Your debts'!$F$6&lt;'Your debts'!$F$13),H187,0)+IF(AND('Your debts'!$F$7&lt;&gt;"",'Your debts'!$F$13&lt;&gt;"",'Your debts'!$F$7&lt;'Your debts'!$F$13),M187,0)+IF(AND('Your debts'!$F$8&lt;&gt;"",'Your debts'!$F$13&lt;&gt;"",'Your debts'!$F$8&lt;'Your debts'!$F$13),R187,0)+IF(AND('Your debts'!$F$9&lt;&gt;"",'Your debts'!$F$13&lt;&gt;"",'Your debts'!$F$9&lt;'Your debts'!$F$13),W187,0)+IF(AND('Your debts'!$F$10&lt;&gt;"",'Your debts'!$F$13&lt;&gt;"",'Your debts'!$F$10&lt;'Your debts'!$F$13),AB187,0)+IF(AND('Your debts'!$F$11&lt;&gt;"",'Your debts'!$F$13&lt;&gt;"",'Your debts'!$F$11&lt;'Your debts'!$F$13),AG187,0)+IF(AND('Your debts'!$F$12&lt;&gt;"",'Your debts'!$F$13&lt;&gt;"",'Your debts'!$F$12&lt;'Your debts'!$F$13),AL187,0)+IF(AND('Your debts'!$F$14&lt;&gt;"",'Your debts'!$F$13&lt;&gt;"",'Your debts'!$F$14&lt;'Your debts'!$F$13),AV187,0)+IF(AND('Your debts'!$F$15&lt;&gt;"",'Your debts'!$F$13&lt;&gt;"",'Your debts'!$F$15&lt;'Your debts'!$F$13),BA187,0)))))</f>
        <v/>
      </c>
      <c r="AS187" s="33">
        <f>AQ187-AR187</f>
        <v/>
      </c>
      <c r="AT187" s="33">
        <f>IF(AX186&lt;=0,0,ROUND(AX186*(1+'Your debts'!$D$14/1200),2))</f>
        <v/>
      </c>
      <c r="AU187" s="33">
        <f>IF(AT187&lt;=0,0,MIN('Your debts'!$E$14,AT187))</f>
        <v/>
      </c>
      <c r="AV187" s="33">
        <f>AT187-AU187</f>
        <v/>
      </c>
      <c r="AW187" s="33">
        <f>IF('Your debts'!$F$14="",0,MIN(AV187,MAX(0,MAX(0,'Your debts'!$C$19-(G187+L187+Q187+V187+AA187+AF187+AK187+AP187+AU187+AZ187))-(IF(AND('Your debts'!$F$6&lt;&gt;"",'Your debts'!$F$14&lt;&gt;"",'Your debts'!$F$6&lt;'Your debts'!$F$14),H187,0)+IF(AND('Your debts'!$F$7&lt;&gt;"",'Your debts'!$F$14&lt;&gt;"",'Your debts'!$F$7&lt;'Your debts'!$F$14),M187,0)+IF(AND('Your debts'!$F$8&lt;&gt;"",'Your debts'!$F$14&lt;&gt;"",'Your debts'!$F$8&lt;'Your debts'!$F$14),R187,0)+IF(AND('Your debts'!$F$9&lt;&gt;"",'Your debts'!$F$14&lt;&gt;"",'Your debts'!$F$9&lt;'Your debts'!$F$14),W187,0)+IF(AND('Your debts'!$F$10&lt;&gt;"",'Your debts'!$F$14&lt;&gt;"",'Your debts'!$F$10&lt;'Your debts'!$F$14),AB187,0)+IF(AND('Your debts'!$F$11&lt;&gt;"",'Your debts'!$F$14&lt;&gt;"",'Your debts'!$F$11&lt;'Your debts'!$F$14),AG187,0)+IF(AND('Your debts'!$F$12&lt;&gt;"",'Your debts'!$F$14&lt;&gt;"",'Your debts'!$F$12&lt;'Your debts'!$F$14),AL187,0)+IF(AND('Your debts'!$F$13&lt;&gt;"",'Your debts'!$F$14&lt;&gt;"",'Your debts'!$F$13&lt;'Your debts'!$F$14),AQ187,0)+IF(AND('Your debts'!$F$15&lt;&gt;"",'Your debts'!$F$14&lt;&gt;"",'Your debts'!$F$15&lt;'Your debts'!$F$14),BA187,0)))))</f>
        <v/>
      </c>
      <c r="AX187" s="33">
        <f>AV187-AW187</f>
        <v/>
      </c>
      <c r="AY187" s="33">
        <f>IF(BC186&lt;=0,0,ROUND(BC186*(1+'Your debts'!$D$15/1200),2))</f>
        <v/>
      </c>
      <c r="AZ187" s="33">
        <f>IF(AY187&lt;=0,0,MIN('Your debts'!$E$15,AY187))</f>
        <v/>
      </c>
      <c r="BA187" s="33">
        <f>AY187-AZ187</f>
        <v/>
      </c>
      <c r="BB187" s="33">
        <f>IF('Your debts'!$F$15="",0,MIN(BA187,MAX(0,MAX(0,'Your debts'!$C$19-(G187+L187+Q187+V187+AA187+AF187+AK187+AP187+AU187+AZ187))-(IF(AND('Your debts'!$F$6&lt;&gt;"",'Your debts'!$F$15&lt;&gt;"",'Your debts'!$F$6&lt;'Your debts'!$F$15),H187,0)+IF(AND('Your debts'!$F$7&lt;&gt;"",'Your debts'!$F$15&lt;&gt;"",'Your debts'!$F$7&lt;'Your debts'!$F$15),M187,0)+IF(AND('Your debts'!$F$8&lt;&gt;"",'Your debts'!$F$15&lt;&gt;"",'Your debts'!$F$8&lt;'Your debts'!$F$15),R187,0)+IF(AND('Your debts'!$F$9&lt;&gt;"",'Your debts'!$F$15&lt;&gt;"",'Your debts'!$F$9&lt;'Your debts'!$F$15),W187,0)+IF(AND('Your debts'!$F$10&lt;&gt;"",'Your debts'!$F$15&lt;&gt;"",'Your debts'!$F$10&lt;'Your debts'!$F$15),AB187,0)+IF(AND('Your debts'!$F$11&lt;&gt;"",'Your debts'!$F$15&lt;&gt;"",'Your debts'!$F$11&lt;'Your debts'!$F$15),AG187,0)+IF(AND('Your debts'!$F$12&lt;&gt;"",'Your debts'!$F$15&lt;&gt;"",'Your debts'!$F$12&lt;'Your debts'!$F$15),AL187,0)+IF(AND('Your debts'!$F$13&lt;&gt;"",'Your debts'!$F$15&lt;&gt;"",'Your debts'!$F$13&lt;'Your debts'!$F$15),AQ187,0)+IF(AND('Your debts'!$F$14&lt;&gt;"",'Your debts'!$F$15&lt;&gt;"",'Your debts'!$F$14&lt;'Your debts'!$F$15),AV187,0)))))</f>
        <v/>
      </c>
      <c r="BC187" s="33">
        <f>BA187-BB187</f>
        <v/>
      </c>
    </row>
    <row r="188">
      <c r="A188" s="30" t="n">
        <v>173</v>
      </c>
      <c r="B188" s="31">
        <f>EDATE($B$15,173)</f>
        <v/>
      </c>
      <c r="C188" s="32">
        <f>IF(J187&lt;=0,0,F188-J187)+IF(O187&lt;=0,0,K188-O187)+IF(T187&lt;=0,0,P188-T187)+IF(Y187&lt;=0,0,U188-Y187)+IF(AD187&lt;=0,0,Z188-AD187)+IF(AI187&lt;=0,0,AE188-AI187)+IF(AN187&lt;=0,0,AJ188-AN187)+IF(AS187&lt;=0,0,AO188-AS187)+IF(AX187&lt;=0,0,AT188-AX187)+IF(BC187&lt;=0,0,AY188-BC187)</f>
        <v/>
      </c>
      <c r="D188" s="32">
        <f>G188+I188+L188+N188+Q188+S188+V188+X188+AA188+AC188+AF188+AH188+AK188+AM188+AP188+AR188+AU188+AW188+AZ188+BB188</f>
        <v/>
      </c>
      <c r="E188" s="32">
        <f>J188+O188+T188+Y188+AD188+AI188+AN188+AS188+AX188+BC188</f>
        <v/>
      </c>
      <c r="F188" s="33">
        <f>IF(J187&lt;=0,0,ROUND(J187*(1+'Your debts'!$D$6/1200),2))</f>
        <v/>
      </c>
      <c r="G188" s="33">
        <f>IF(F188&lt;=0,0,MIN('Your debts'!$E$6,F188))</f>
        <v/>
      </c>
      <c r="H188" s="33">
        <f>F188-G188</f>
        <v/>
      </c>
      <c r="I188" s="33">
        <f>IF('Your debts'!$F$6="",0,MIN(H188,MAX(0,MAX(0,'Your debts'!$C$19-(G188+L188+Q188+V188+AA188+AF188+AK188+AP188+AU188+AZ188))-(IF(AND('Your debts'!$F$7&lt;&gt;"",'Your debts'!$F$6&lt;&gt;"",'Your debts'!$F$7&lt;'Your debts'!$F$6),M188,0)+IF(AND('Your debts'!$F$8&lt;&gt;"",'Your debts'!$F$6&lt;&gt;"",'Your debts'!$F$8&lt;'Your debts'!$F$6),R188,0)+IF(AND('Your debts'!$F$9&lt;&gt;"",'Your debts'!$F$6&lt;&gt;"",'Your debts'!$F$9&lt;'Your debts'!$F$6),W188,0)+IF(AND('Your debts'!$F$10&lt;&gt;"",'Your debts'!$F$6&lt;&gt;"",'Your debts'!$F$10&lt;'Your debts'!$F$6),AB188,0)+IF(AND('Your debts'!$F$11&lt;&gt;"",'Your debts'!$F$6&lt;&gt;"",'Your debts'!$F$11&lt;'Your debts'!$F$6),AG188,0)+IF(AND('Your debts'!$F$12&lt;&gt;"",'Your debts'!$F$6&lt;&gt;"",'Your debts'!$F$12&lt;'Your debts'!$F$6),AL188,0)+IF(AND('Your debts'!$F$13&lt;&gt;"",'Your debts'!$F$6&lt;&gt;"",'Your debts'!$F$13&lt;'Your debts'!$F$6),AQ188,0)+IF(AND('Your debts'!$F$14&lt;&gt;"",'Your debts'!$F$6&lt;&gt;"",'Your debts'!$F$14&lt;'Your debts'!$F$6),AV188,0)+IF(AND('Your debts'!$F$15&lt;&gt;"",'Your debts'!$F$6&lt;&gt;"",'Your debts'!$F$15&lt;'Your debts'!$F$6),BA188,0)))))</f>
        <v/>
      </c>
      <c r="J188" s="33">
        <f>H188-I188</f>
        <v/>
      </c>
      <c r="K188" s="33">
        <f>IF(O187&lt;=0,0,ROUND(O187*(1+'Your debts'!$D$7/1200),2))</f>
        <v/>
      </c>
      <c r="L188" s="33">
        <f>IF(K188&lt;=0,0,MIN('Your debts'!$E$7,K188))</f>
        <v/>
      </c>
      <c r="M188" s="33">
        <f>K188-L188</f>
        <v/>
      </c>
      <c r="N188" s="33">
        <f>IF('Your debts'!$F$7="",0,MIN(M188,MAX(0,MAX(0,'Your debts'!$C$19-(G188+L188+Q188+V188+AA188+AF188+AK188+AP188+AU188+AZ188))-(IF(AND('Your debts'!$F$6&lt;&gt;"",'Your debts'!$F$7&lt;&gt;"",'Your debts'!$F$6&lt;'Your debts'!$F$7),H188,0)+IF(AND('Your debts'!$F$8&lt;&gt;"",'Your debts'!$F$7&lt;&gt;"",'Your debts'!$F$8&lt;'Your debts'!$F$7),R188,0)+IF(AND('Your debts'!$F$9&lt;&gt;"",'Your debts'!$F$7&lt;&gt;"",'Your debts'!$F$9&lt;'Your debts'!$F$7),W188,0)+IF(AND('Your debts'!$F$10&lt;&gt;"",'Your debts'!$F$7&lt;&gt;"",'Your debts'!$F$10&lt;'Your debts'!$F$7),AB188,0)+IF(AND('Your debts'!$F$11&lt;&gt;"",'Your debts'!$F$7&lt;&gt;"",'Your debts'!$F$11&lt;'Your debts'!$F$7),AG188,0)+IF(AND('Your debts'!$F$12&lt;&gt;"",'Your debts'!$F$7&lt;&gt;"",'Your debts'!$F$12&lt;'Your debts'!$F$7),AL188,0)+IF(AND('Your debts'!$F$13&lt;&gt;"",'Your debts'!$F$7&lt;&gt;"",'Your debts'!$F$13&lt;'Your debts'!$F$7),AQ188,0)+IF(AND('Your debts'!$F$14&lt;&gt;"",'Your debts'!$F$7&lt;&gt;"",'Your debts'!$F$14&lt;'Your debts'!$F$7),AV188,0)+IF(AND('Your debts'!$F$15&lt;&gt;"",'Your debts'!$F$7&lt;&gt;"",'Your debts'!$F$15&lt;'Your debts'!$F$7),BA188,0)))))</f>
        <v/>
      </c>
      <c r="O188" s="33">
        <f>M188-N188</f>
        <v/>
      </c>
      <c r="P188" s="33">
        <f>IF(T187&lt;=0,0,ROUND(T187*(1+'Your debts'!$D$8/1200),2))</f>
        <v/>
      </c>
      <c r="Q188" s="33">
        <f>IF(P188&lt;=0,0,MIN('Your debts'!$E$8,P188))</f>
        <v/>
      </c>
      <c r="R188" s="33">
        <f>P188-Q188</f>
        <v/>
      </c>
      <c r="S188" s="33">
        <f>IF('Your debts'!$F$8="",0,MIN(R188,MAX(0,MAX(0,'Your debts'!$C$19-(G188+L188+Q188+V188+AA188+AF188+AK188+AP188+AU188+AZ188))-(IF(AND('Your debts'!$F$6&lt;&gt;"",'Your debts'!$F$8&lt;&gt;"",'Your debts'!$F$6&lt;'Your debts'!$F$8),H188,0)+IF(AND('Your debts'!$F$7&lt;&gt;"",'Your debts'!$F$8&lt;&gt;"",'Your debts'!$F$7&lt;'Your debts'!$F$8),M188,0)+IF(AND('Your debts'!$F$9&lt;&gt;"",'Your debts'!$F$8&lt;&gt;"",'Your debts'!$F$9&lt;'Your debts'!$F$8),W188,0)+IF(AND('Your debts'!$F$10&lt;&gt;"",'Your debts'!$F$8&lt;&gt;"",'Your debts'!$F$10&lt;'Your debts'!$F$8),AB188,0)+IF(AND('Your debts'!$F$11&lt;&gt;"",'Your debts'!$F$8&lt;&gt;"",'Your debts'!$F$11&lt;'Your debts'!$F$8),AG188,0)+IF(AND('Your debts'!$F$12&lt;&gt;"",'Your debts'!$F$8&lt;&gt;"",'Your debts'!$F$12&lt;'Your debts'!$F$8),AL188,0)+IF(AND('Your debts'!$F$13&lt;&gt;"",'Your debts'!$F$8&lt;&gt;"",'Your debts'!$F$13&lt;'Your debts'!$F$8),AQ188,0)+IF(AND('Your debts'!$F$14&lt;&gt;"",'Your debts'!$F$8&lt;&gt;"",'Your debts'!$F$14&lt;'Your debts'!$F$8),AV188,0)+IF(AND('Your debts'!$F$15&lt;&gt;"",'Your debts'!$F$8&lt;&gt;"",'Your debts'!$F$15&lt;'Your debts'!$F$8),BA188,0)))))</f>
        <v/>
      </c>
      <c r="T188" s="33">
        <f>R188-S188</f>
        <v/>
      </c>
      <c r="U188" s="33">
        <f>IF(Y187&lt;=0,0,ROUND(Y187*(1+'Your debts'!$D$9/1200),2))</f>
        <v/>
      </c>
      <c r="V188" s="33">
        <f>IF(U188&lt;=0,0,MIN('Your debts'!$E$9,U188))</f>
        <v/>
      </c>
      <c r="W188" s="33">
        <f>U188-V188</f>
        <v/>
      </c>
      <c r="X188" s="33">
        <f>IF('Your debts'!$F$9="",0,MIN(W188,MAX(0,MAX(0,'Your debts'!$C$19-(G188+L188+Q188+V188+AA188+AF188+AK188+AP188+AU188+AZ188))-(IF(AND('Your debts'!$F$6&lt;&gt;"",'Your debts'!$F$9&lt;&gt;"",'Your debts'!$F$6&lt;'Your debts'!$F$9),H188,0)+IF(AND('Your debts'!$F$7&lt;&gt;"",'Your debts'!$F$9&lt;&gt;"",'Your debts'!$F$7&lt;'Your debts'!$F$9),M188,0)+IF(AND('Your debts'!$F$8&lt;&gt;"",'Your debts'!$F$9&lt;&gt;"",'Your debts'!$F$8&lt;'Your debts'!$F$9),R188,0)+IF(AND('Your debts'!$F$10&lt;&gt;"",'Your debts'!$F$9&lt;&gt;"",'Your debts'!$F$10&lt;'Your debts'!$F$9),AB188,0)+IF(AND('Your debts'!$F$11&lt;&gt;"",'Your debts'!$F$9&lt;&gt;"",'Your debts'!$F$11&lt;'Your debts'!$F$9),AG188,0)+IF(AND('Your debts'!$F$12&lt;&gt;"",'Your debts'!$F$9&lt;&gt;"",'Your debts'!$F$12&lt;'Your debts'!$F$9),AL188,0)+IF(AND('Your debts'!$F$13&lt;&gt;"",'Your debts'!$F$9&lt;&gt;"",'Your debts'!$F$13&lt;'Your debts'!$F$9),AQ188,0)+IF(AND('Your debts'!$F$14&lt;&gt;"",'Your debts'!$F$9&lt;&gt;"",'Your debts'!$F$14&lt;'Your debts'!$F$9),AV188,0)+IF(AND('Your debts'!$F$15&lt;&gt;"",'Your debts'!$F$9&lt;&gt;"",'Your debts'!$F$15&lt;'Your debts'!$F$9),BA188,0)))))</f>
        <v/>
      </c>
      <c r="Y188" s="33">
        <f>W188-X188</f>
        <v/>
      </c>
      <c r="Z188" s="33">
        <f>IF(AD187&lt;=0,0,ROUND(AD187*(1+'Your debts'!$D$10/1200),2))</f>
        <v/>
      </c>
      <c r="AA188" s="33">
        <f>IF(Z188&lt;=0,0,MIN('Your debts'!$E$10,Z188))</f>
        <v/>
      </c>
      <c r="AB188" s="33">
        <f>Z188-AA188</f>
        <v/>
      </c>
      <c r="AC188" s="33">
        <f>IF('Your debts'!$F$10="",0,MIN(AB188,MAX(0,MAX(0,'Your debts'!$C$19-(G188+L188+Q188+V188+AA188+AF188+AK188+AP188+AU188+AZ188))-(IF(AND('Your debts'!$F$6&lt;&gt;"",'Your debts'!$F$10&lt;&gt;"",'Your debts'!$F$6&lt;'Your debts'!$F$10),H188,0)+IF(AND('Your debts'!$F$7&lt;&gt;"",'Your debts'!$F$10&lt;&gt;"",'Your debts'!$F$7&lt;'Your debts'!$F$10),M188,0)+IF(AND('Your debts'!$F$8&lt;&gt;"",'Your debts'!$F$10&lt;&gt;"",'Your debts'!$F$8&lt;'Your debts'!$F$10),R188,0)+IF(AND('Your debts'!$F$9&lt;&gt;"",'Your debts'!$F$10&lt;&gt;"",'Your debts'!$F$9&lt;'Your debts'!$F$10),W188,0)+IF(AND('Your debts'!$F$11&lt;&gt;"",'Your debts'!$F$10&lt;&gt;"",'Your debts'!$F$11&lt;'Your debts'!$F$10),AG188,0)+IF(AND('Your debts'!$F$12&lt;&gt;"",'Your debts'!$F$10&lt;&gt;"",'Your debts'!$F$12&lt;'Your debts'!$F$10),AL188,0)+IF(AND('Your debts'!$F$13&lt;&gt;"",'Your debts'!$F$10&lt;&gt;"",'Your debts'!$F$13&lt;'Your debts'!$F$10),AQ188,0)+IF(AND('Your debts'!$F$14&lt;&gt;"",'Your debts'!$F$10&lt;&gt;"",'Your debts'!$F$14&lt;'Your debts'!$F$10),AV188,0)+IF(AND('Your debts'!$F$15&lt;&gt;"",'Your debts'!$F$10&lt;&gt;"",'Your debts'!$F$15&lt;'Your debts'!$F$10),BA188,0)))))</f>
        <v/>
      </c>
      <c r="AD188" s="33">
        <f>AB188-AC188</f>
        <v/>
      </c>
      <c r="AE188" s="33">
        <f>IF(AI187&lt;=0,0,ROUND(AI187*(1+'Your debts'!$D$11/1200),2))</f>
        <v/>
      </c>
      <c r="AF188" s="33">
        <f>IF(AE188&lt;=0,0,MIN('Your debts'!$E$11,AE188))</f>
        <v/>
      </c>
      <c r="AG188" s="33">
        <f>AE188-AF188</f>
        <v/>
      </c>
      <c r="AH188" s="33">
        <f>IF('Your debts'!$F$11="",0,MIN(AG188,MAX(0,MAX(0,'Your debts'!$C$19-(G188+L188+Q188+V188+AA188+AF188+AK188+AP188+AU188+AZ188))-(IF(AND('Your debts'!$F$6&lt;&gt;"",'Your debts'!$F$11&lt;&gt;"",'Your debts'!$F$6&lt;'Your debts'!$F$11),H188,0)+IF(AND('Your debts'!$F$7&lt;&gt;"",'Your debts'!$F$11&lt;&gt;"",'Your debts'!$F$7&lt;'Your debts'!$F$11),M188,0)+IF(AND('Your debts'!$F$8&lt;&gt;"",'Your debts'!$F$11&lt;&gt;"",'Your debts'!$F$8&lt;'Your debts'!$F$11),R188,0)+IF(AND('Your debts'!$F$9&lt;&gt;"",'Your debts'!$F$11&lt;&gt;"",'Your debts'!$F$9&lt;'Your debts'!$F$11),W188,0)+IF(AND('Your debts'!$F$10&lt;&gt;"",'Your debts'!$F$11&lt;&gt;"",'Your debts'!$F$10&lt;'Your debts'!$F$11),AB188,0)+IF(AND('Your debts'!$F$12&lt;&gt;"",'Your debts'!$F$11&lt;&gt;"",'Your debts'!$F$12&lt;'Your debts'!$F$11),AL188,0)+IF(AND('Your debts'!$F$13&lt;&gt;"",'Your debts'!$F$11&lt;&gt;"",'Your debts'!$F$13&lt;'Your debts'!$F$11),AQ188,0)+IF(AND('Your debts'!$F$14&lt;&gt;"",'Your debts'!$F$11&lt;&gt;"",'Your debts'!$F$14&lt;'Your debts'!$F$11),AV188,0)+IF(AND('Your debts'!$F$15&lt;&gt;"",'Your debts'!$F$11&lt;&gt;"",'Your debts'!$F$15&lt;'Your debts'!$F$11),BA188,0)))))</f>
        <v/>
      </c>
      <c r="AI188" s="33">
        <f>AG188-AH188</f>
        <v/>
      </c>
      <c r="AJ188" s="33">
        <f>IF(AN187&lt;=0,0,ROUND(AN187*(1+'Your debts'!$D$12/1200),2))</f>
        <v/>
      </c>
      <c r="AK188" s="33">
        <f>IF(AJ188&lt;=0,0,MIN('Your debts'!$E$12,AJ188))</f>
        <v/>
      </c>
      <c r="AL188" s="33">
        <f>AJ188-AK188</f>
        <v/>
      </c>
      <c r="AM188" s="33">
        <f>IF('Your debts'!$F$12="",0,MIN(AL188,MAX(0,MAX(0,'Your debts'!$C$19-(G188+L188+Q188+V188+AA188+AF188+AK188+AP188+AU188+AZ188))-(IF(AND('Your debts'!$F$6&lt;&gt;"",'Your debts'!$F$12&lt;&gt;"",'Your debts'!$F$6&lt;'Your debts'!$F$12),H188,0)+IF(AND('Your debts'!$F$7&lt;&gt;"",'Your debts'!$F$12&lt;&gt;"",'Your debts'!$F$7&lt;'Your debts'!$F$12),M188,0)+IF(AND('Your debts'!$F$8&lt;&gt;"",'Your debts'!$F$12&lt;&gt;"",'Your debts'!$F$8&lt;'Your debts'!$F$12),R188,0)+IF(AND('Your debts'!$F$9&lt;&gt;"",'Your debts'!$F$12&lt;&gt;"",'Your debts'!$F$9&lt;'Your debts'!$F$12),W188,0)+IF(AND('Your debts'!$F$10&lt;&gt;"",'Your debts'!$F$12&lt;&gt;"",'Your debts'!$F$10&lt;'Your debts'!$F$12),AB188,0)+IF(AND('Your debts'!$F$11&lt;&gt;"",'Your debts'!$F$12&lt;&gt;"",'Your debts'!$F$11&lt;'Your debts'!$F$12),AG188,0)+IF(AND('Your debts'!$F$13&lt;&gt;"",'Your debts'!$F$12&lt;&gt;"",'Your debts'!$F$13&lt;'Your debts'!$F$12),AQ188,0)+IF(AND('Your debts'!$F$14&lt;&gt;"",'Your debts'!$F$12&lt;&gt;"",'Your debts'!$F$14&lt;'Your debts'!$F$12),AV188,0)+IF(AND('Your debts'!$F$15&lt;&gt;"",'Your debts'!$F$12&lt;&gt;"",'Your debts'!$F$15&lt;'Your debts'!$F$12),BA188,0)))))</f>
        <v/>
      </c>
      <c r="AN188" s="33">
        <f>AL188-AM188</f>
        <v/>
      </c>
      <c r="AO188" s="33">
        <f>IF(AS187&lt;=0,0,ROUND(AS187*(1+'Your debts'!$D$13/1200),2))</f>
        <v/>
      </c>
      <c r="AP188" s="33">
        <f>IF(AO188&lt;=0,0,MIN('Your debts'!$E$13,AO188))</f>
        <v/>
      </c>
      <c r="AQ188" s="33">
        <f>AO188-AP188</f>
        <v/>
      </c>
      <c r="AR188" s="33">
        <f>IF('Your debts'!$F$13="",0,MIN(AQ188,MAX(0,MAX(0,'Your debts'!$C$19-(G188+L188+Q188+V188+AA188+AF188+AK188+AP188+AU188+AZ188))-(IF(AND('Your debts'!$F$6&lt;&gt;"",'Your debts'!$F$13&lt;&gt;"",'Your debts'!$F$6&lt;'Your debts'!$F$13),H188,0)+IF(AND('Your debts'!$F$7&lt;&gt;"",'Your debts'!$F$13&lt;&gt;"",'Your debts'!$F$7&lt;'Your debts'!$F$13),M188,0)+IF(AND('Your debts'!$F$8&lt;&gt;"",'Your debts'!$F$13&lt;&gt;"",'Your debts'!$F$8&lt;'Your debts'!$F$13),R188,0)+IF(AND('Your debts'!$F$9&lt;&gt;"",'Your debts'!$F$13&lt;&gt;"",'Your debts'!$F$9&lt;'Your debts'!$F$13),W188,0)+IF(AND('Your debts'!$F$10&lt;&gt;"",'Your debts'!$F$13&lt;&gt;"",'Your debts'!$F$10&lt;'Your debts'!$F$13),AB188,0)+IF(AND('Your debts'!$F$11&lt;&gt;"",'Your debts'!$F$13&lt;&gt;"",'Your debts'!$F$11&lt;'Your debts'!$F$13),AG188,0)+IF(AND('Your debts'!$F$12&lt;&gt;"",'Your debts'!$F$13&lt;&gt;"",'Your debts'!$F$12&lt;'Your debts'!$F$13),AL188,0)+IF(AND('Your debts'!$F$14&lt;&gt;"",'Your debts'!$F$13&lt;&gt;"",'Your debts'!$F$14&lt;'Your debts'!$F$13),AV188,0)+IF(AND('Your debts'!$F$15&lt;&gt;"",'Your debts'!$F$13&lt;&gt;"",'Your debts'!$F$15&lt;'Your debts'!$F$13),BA188,0)))))</f>
        <v/>
      </c>
      <c r="AS188" s="33">
        <f>AQ188-AR188</f>
        <v/>
      </c>
      <c r="AT188" s="33">
        <f>IF(AX187&lt;=0,0,ROUND(AX187*(1+'Your debts'!$D$14/1200),2))</f>
        <v/>
      </c>
      <c r="AU188" s="33">
        <f>IF(AT188&lt;=0,0,MIN('Your debts'!$E$14,AT188))</f>
        <v/>
      </c>
      <c r="AV188" s="33">
        <f>AT188-AU188</f>
        <v/>
      </c>
      <c r="AW188" s="33">
        <f>IF('Your debts'!$F$14="",0,MIN(AV188,MAX(0,MAX(0,'Your debts'!$C$19-(G188+L188+Q188+V188+AA188+AF188+AK188+AP188+AU188+AZ188))-(IF(AND('Your debts'!$F$6&lt;&gt;"",'Your debts'!$F$14&lt;&gt;"",'Your debts'!$F$6&lt;'Your debts'!$F$14),H188,0)+IF(AND('Your debts'!$F$7&lt;&gt;"",'Your debts'!$F$14&lt;&gt;"",'Your debts'!$F$7&lt;'Your debts'!$F$14),M188,0)+IF(AND('Your debts'!$F$8&lt;&gt;"",'Your debts'!$F$14&lt;&gt;"",'Your debts'!$F$8&lt;'Your debts'!$F$14),R188,0)+IF(AND('Your debts'!$F$9&lt;&gt;"",'Your debts'!$F$14&lt;&gt;"",'Your debts'!$F$9&lt;'Your debts'!$F$14),W188,0)+IF(AND('Your debts'!$F$10&lt;&gt;"",'Your debts'!$F$14&lt;&gt;"",'Your debts'!$F$10&lt;'Your debts'!$F$14),AB188,0)+IF(AND('Your debts'!$F$11&lt;&gt;"",'Your debts'!$F$14&lt;&gt;"",'Your debts'!$F$11&lt;'Your debts'!$F$14),AG188,0)+IF(AND('Your debts'!$F$12&lt;&gt;"",'Your debts'!$F$14&lt;&gt;"",'Your debts'!$F$12&lt;'Your debts'!$F$14),AL188,0)+IF(AND('Your debts'!$F$13&lt;&gt;"",'Your debts'!$F$14&lt;&gt;"",'Your debts'!$F$13&lt;'Your debts'!$F$14),AQ188,0)+IF(AND('Your debts'!$F$15&lt;&gt;"",'Your debts'!$F$14&lt;&gt;"",'Your debts'!$F$15&lt;'Your debts'!$F$14),BA188,0)))))</f>
        <v/>
      </c>
      <c r="AX188" s="33">
        <f>AV188-AW188</f>
        <v/>
      </c>
      <c r="AY188" s="33">
        <f>IF(BC187&lt;=0,0,ROUND(BC187*(1+'Your debts'!$D$15/1200),2))</f>
        <v/>
      </c>
      <c r="AZ188" s="33">
        <f>IF(AY188&lt;=0,0,MIN('Your debts'!$E$15,AY188))</f>
        <v/>
      </c>
      <c r="BA188" s="33">
        <f>AY188-AZ188</f>
        <v/>
      </c>
      <c r="BB188" s="33">
        <f>IF('Your debts'!$F$15="",0,MIN(BA188,MAX(0,MAX(0,'Your debts'!$C$19-(G188+L188+Q188+V188+AA188+AF188+AK188+AP188+AU188+AZ188))-(IF(AND('Your debts'!$F$6&lt;&gt;"",'Your debts'!$F$15&lt;&gt;"",'Your debts'!$F$6&lt;'Your debts'!$F$15),H188,0)+IF(AND('Your debts'!$F$7&lt;&gt;"",'Your debts'!$F$15&lt;&gt;"",'Your debts'!$F$7&lt;'Your debts'!$F$15),M188,0)+IF(AND('Your debts'!$F$8&lt;&gt;"",'Your debts'!$F$15&lt;&gt;"",'Your debts'!$F$8&lt;'Your debts'!$F$15),R188,0)+IF(AND('Your debts'!$F$9&lt;&gt;"",'Your debts'!$F$15&lt;&gt;"",'Your debts'!$F$9&lt;'Your debts'!$F$15),W188,0)+IF(AND('Your debts'!$F$10&lt;&gt;"",'Your debts'!$F$15&lt;&gt;"",'Your debts'!$F$10&lt;'Your debts'!$F$15),AB188,0)+IF(AND('Your debts'!$F$11&lt;&gt;"",'Your debts'!$F$15&lt;&gt;"",'Your debts'!$F$11&lt;'Your debts'!$F$15),AG188,0)+IF(AND('Your debts'!$F$12&lt;&gt;"",'Your debts'!$F$15&lt;&gt;"",'Your debts'!$F$12&lt;'Your debts'!$F$15),AL188,0)+IF(AND('Your debts'!$F$13&lt;&gt;"",'Your debts'!$F$15&lt;&gt;"",'Your debts'!$F$13&lt;'Your debts'!$F$15),AQ188,0)+IF(AND('Your debts'!$F$14&lt;&gt;"",'Your debts'!$F$15&lt;&gt;"",'Your debts'!$F$14&lt;'Your debts'!$F$15),AV188,0)))))</f>
        <v/>
      </c>
      <c r="BC188" s="33">
        <f>BA188-BB188</f>
        <v/>
      </c>
    </row>
    <row r="189">
      <c r="A189" s="30" t="n">
        <v>174</v>
      </c>
      <c r="B189" s="31">
        <f>EDATE($B$15,174)</f>
        <v/>
      </c>
      <c r="C189" s="32">
        <f>IF(J188&lt;=0,0,F189-J188)+IF(O188&lt;=0,0,K189-O188)+IF(T188&lt;=0,0,P189-T188)+IF(Y188&lt;=0,0,U189-Y188)+IF(AD188&lt;=0,0,Z189-AD188)+IF(AI188&lt;=0,0,AE189-AI188)+IF(AN188&lt;=0,0,AJ189-AN188)+IF(AS188&lt;=0,0,AO189-AS188)+IF(AX188&lt;=0,0,AT189-AX188)+IF(BC188&lt;=0,0,AY189-BC188)</f>
        <v/>
      </c>
      <c r="D189" s="32">
        <f>G189+I189+L189+N189+Q189+S189+V189+X189+AA189+AC189+AF189+AH189+AK189+AM189+AP189+AR189+AU189+AW189+AZ189+BB189</f>
        <v/>
      </c>
      <c r="E189" s="32">
        <f>J189+O189+T189+Y189+AD189+AI189+AN189+AS189+AX189+BC189</f>
        <v/>
      </c>
      <c r="F189" s="33">
        <f>IF(J188&lt;=0,0,ROUND(J188*(1+'Your debts'!$D$6/1200),2))</f>
        <v/>
      </c>
      <c r="G189" s="33">
        <f>IF(F189&lt;=0,0,MIN('Your debts'!$E$6,F189))</f>
        <v/>
      </c>
      <c r="H189" s="33">
        <f>F189-G189</f>
        <v/>
      </c>
      <c r="I189" s="33">
        <f>IF('Your debts'!$F$6="",0,MIN(H189,MAX(0,MAX(0,'Your debts'!$C$19-(G189+L189+Q189+V189+AA189+AF189+AK189+AP189+AU189+AZ189))-(IF(AND('Your debts'!$F$7&lt;&gt;"",'Your debts'!$F$6&lt;&gt;"",'Your debts'!$F$7&lt;'Your debts'!$F$6),M189,0)+IF(AND('Your debts'!$F$8&lt;&gt;"",'Your debts'!$F$6&lt;&gt;"",'Your debts'!$F$8&lt;'Your debts'!$F$6),R189,0)+IF(AND('Your debts'!$F$9&lt;&gt;"",'Your debts'!$F$6&lt;&gt;"",'Your debts'!$F$9&lt;'Your debts'!$F$6),W189,0)+IF(AND('Your debts'!$F$10&lt;&gt;"",'Your debts'!$F$6&lt;&gt;"",'Your debts'!$F$10&lt;'Your debts'!$F$6),AB189,0)+IF(AND('Your debts'!$F$11&lt;&gt;"",'Your debts'!$F$6&lt;&gt;"",'Your debts'!$F$11&lt;'Your debts'!$F$6),AG189,0)+IF(AND('Your debts'!$F$12&lt;&gt;"",'Your debts'!$F$6&lt;&gt;"",'Your debts'!$F$12&lt;'Your debts'!$F$6),AL189,0)+IF(AND('Your debts'!$F$13&lt;&gt;"",'Your debts'!$F$6&lt;&gt;"",'Your debts'!$F$13&lt;'Your debts'!$F$6),AQ189,0)+IF(AND('Your debts'!$F$14&lt;&gt;"",'Your debts'!$F$6&lt;&gt;"",'Your debts'!$F$14&lt;'Your debts'!$F$6),AV189,0)+IF(AND('Your debts'!$F$15&lt;&gt;"",'Your debts'!$F$6&lt;&gt;"",'Your debts'!$F$15&lt;'Your debts'!$F$6),BA189,0)))))</f>
        <v/>
      </c>
      <c r="J189" s="33">
        <f>H189-I189</f>
        <v/>
      </c>
      <c r="K189" s="33">
        <f>IF(O188&lt;=0,0,ROUND(O188*(1+'Your debts'!$D$7/1200),2))</f>
        <v/>
      </c>
      <c r="L189" s="33">
        <f>IF(K189&lt;=0,0,MIN('Your debts'!$E$7,K189))</f>
        <v/>
      </c>
      <c r="M189" s="33">
        <f>K189-L189</f>
        <v/>
      </c>
      <c r="N189" s="33">
        <f>IF('Your debts'!$F$7="",0,MIN(M189,MAX(0,MAX(0,'Your debts'!$C$19-(G189+L189+Q189+V189+AA189+AF189+AK189+AP189+AU189+AZ189))-(IF(AND('Your debts'!$F$6&lt;&gt;"",'Your debts'!$F$7&lt;&gt;"",'Your debts'!$F$6&lt;'Your debts'!$F$7),H189,0)+IF(AND('Your debts'!$F$8&lt;&gt;"",'Your debts'!$F$7&lt;&gt;"",'Your debts'!$F$8&lt;'Your debts'!$F$7),R189,0)+IF(AND('Your debts'!$F$9&lt;&gt;"",'Your debts'!$F$7&lt;&gt;"",'Your debts'!$F$9&lt;'Your debts'!$F$7),W189,0)+IF(AND('Your debts'!$F$10&lt;&gt;"",'Your debts'!$F$7&lt;&gt;"",'Your debts'!$F$10&lt;'Your debts'!$F$7),AB189,0)+IF(AND('Your debts'!$F$11&lt;&gt;"",'Your debts'!$F$7&lt;&gt;"",'Your debts'!$F$11&lt;'Your debts'!$F$7),AG189,0)+IF(AND('Your debts'!$F$12&lt;&gt;"",'Your debts'!$F$7&lt;&gt;"",'Your debts'!$F$12&lt;'Your debts'!$F$7),AL189,0)+IF(AND('Your debts'!$F$13&lt;&gt;"",'Your debts'!$F$7&lt;&gt;"",'Your debts'!$F$13&lt;'Your debts'!$F$7),AQ189,0)+IF(AND('Your debts'!$F$14&lt;&gt;"",'Your debts'!$F$7&lt;&gt;"",'Your debts'!$F$14&lt;'Your debts'!$F$7),AV189,0)+IF(AND('Your debts'!$F$15&lt;&gt;"",'Your debts'!$F$7&lt;&gt;"",'Your debts'!$F$15&lt;'Your debts'!$F$7),BA189,0)))))</f>
        <v/>
      </c>
      <c r="O189" s="33">
        <f>M189-N189</f>
        <v/>
      </c>
      <c r="P189" s="33">
        <f>IF(T188&lt;=0,0,ROUND(T188*(1+'Your debts'!$D$8/1200),2))</f>
        <v/>
      </c>
      <c r="Q189" s="33">
        <f>IF(P189&lt;=0,0,MIN('Your debts'!$E$8,P189))</f>
        <v/>
      </c>
      <c r="R189" s="33">
        <f>P189-Q189</f>
        <v/>
      </c>
      <c r="S189" s="33">
        <f>IF('Your debts'!$F$8="",0,MIN(R189,MAX(0,MAX(0,'Your debts'!$C$19-(G189+L189+Q189+V189+AA189+AF189+AK189+AP189+AU189+AZ189))-(IF(AND('Your debts'!$F$6&lt;&gt;"",'Your debts'!$F$8&lt;&gt;"",'Your debts'!$F$6&lt;'Your debts'!$F$8),H189,0)+IF(AND('Your debts'!$F$7&lt;&gt;"",'Your debts'!$F$8&lt;&gt;"",'Your debts'!$F$7&lt;'Your debts'!$F$8),M189,0)+IF(AND('Your debts'!$F$9&lt;&gt;"",'Your debts'!$F$8&lt;&gt;"",'Your debts'!$F$9&lt;'Your debts'!$F$8),W189,0)+IF(AND('Your debts'!$F$10&lt;&gt;"",'Your debts'!$F$8&lt;&gt;"",'Your debts'!$F$10&lt;'Your debts'!$F$8),AB189,0)+IF(AND('Your debts'!$F$11&lt;&gt;"",'Your debts'!$F$8&lt;&gt;"",'Your debts'!$F$11&lt;'Your debts'!$F$8),AG189,0)+IF(AND('Your debts'!$F$12&lt;&gt;"",'Your debts'!$F$8&lt;&gt;"",'Your debts'!$F$12&lt;'Your debts'!$F$8),AL189,0)+IF(AND('Your debts'!$F$13&lt;&gt;"",'Your debts'!$F$8&lt;&gt;"",'Your debts'!$F$13&lt;'Your debts'!$F$8),AQ189,0)+IF(AND('Your debts'!$F$14&lt;&gt;"",'Your debts'!$F$8&lt;&gt;"",'Your debts'!$F$14&lt;'Your debts'!$F$8),AV189,0)+IF(AND('Your debts'!$F$15&lt;&gt;"",'Your debts'!$F$8&lt;&gt;"",'Your debts'!$F$15&lt;'Your debts'!$F$8),BA189,0)))))</f>
        <v/>
      </c>
      <c r="T189" s="33">
        <f>R189-S189</f>
        <v/>
      </c>
      <c r="U189" s="33">
        <f>IF(Y188&lt;=0,0,ROUND(Y188*(1+'Your debts'!$D$9/1200),2))</f>
        <v/>
      </c>
      <c r="V189" s="33">
        <f>IF(U189&lt;=0,0,MIN('Your debts'!$E$9,U189))</f>
        <v/>
      </c>
      <c r="W189" s="33">
        <f>U189-V189</f>
        <v/>
      </c>
      <c r="X189" s="33">
        <f>IF('Your debts'!$F$9="",0,MIN(W189,MAX(0,MAX(0,'Your debts'!$C$19-(G189+L189+Q189+V189+AA189+AF189+AK189+AP189+AU189+AZ189))-(IF(AND('Your debts'!$F$6&lt;&gt;"",'Your debts'!$F$9&lt;&gt;"",'Your debts'!$F$6&lt;'Your debts'!$F$9),H189,0)+IF(AND('Your debts'!$F$7&lt;&gt;"",'Your debts'!$F$9&lt;&gt;"",'Your debts'!$F$7&lt;'Your debts'!$F$9),M189,0)+IF(AND('Your debts'!$F$8&lt;&gt;"",'Your debts'!$F$9&lt;&gt;"",'Your debts'!$F$8&lt;'Your debts'!$F$9),R189,0)+IF(AND('Your debts'!$F$10&lt;&gt;"",'Your debts'!$F$9&lt;&gt;"",'Your debts'!$F$10&lt;'Your debts'!$F$9),AB189,0)+IF(AND('Your debts'!$F$11&lt;&gt;"",'Your debts'!$F$9&lt;&gt;"",'Your debts'!$F$11&lt;'Your debts'!$F$9),AG189,0)+IF(AND('Your debts'!$F$12&lt;&gt;"",'Your debts'!$F$9&lt;&gt;"",'Your debts'!$F$12&lt;'Your debts'!$F$9),AL189,0)+IF(AND('Your debts'!$F$13&lt;&gt;"",'Your debts'!$F$9&lt;&gt;"",'Your debts'!$F$13&lt;'Your debts'!$F$9),AQ189,0)+IF(AND('Your debts'!$F$14&lt;&gt;"",'Your debts'!$F$9&lt;&gt;"",'Your debts'!$F$14&lt;'Your debts'!$F$9),AV189,0)+IF(AND('Your debts'!$F$15&lt;&gt;"",'Your debts'!$F$9&lt;&gt;"",'Your debts'!$F$15&lt;'Your debts'!$F$9),BA189,0)))))</f>
        <v/>
      </c>
      <c r="Y189" s="33">
        <f>W189-X189</f>
        <v/>
      </c>
      <c r="Z189" s="33">
        <f>IF(AD188&lt;=0,0,ROUND(AD188*(1+'Your debts'!$D$10/1200),2))</f>
        <v/>
      </c>
      <c r="AA189" s="33">
        <f>IF(Z189&lt;=0,0,MIN('Your debts'!$E$10,Z189))</f>
        <v/>
      </c>
      <c r="AB189" s="33">
        <f>Z189-AA189</f>
        <v/>
      </c>
      <c r="AC189" s="33">
        <f>IF('Your debts'!$F$10="",0,MIN(AB189,MAX(0,MAX(0,'Your debts'!$C$19-(G189+L189+Q189+V189+AA189+AF189+AK189+AP189+AU189+AZ189))-(IF(AND('Your debts'!$F$6&lt;&gt;"",'Your debts'!$F$10&lt;&gt;"",'Your debts'!$F$6&lt;'Your debts'!$F$10),H189,0)+IF(AND('Your debts'!$F$7&lt;&gt;"",'Your debts'!$F$10&lt;&gt;"",'Your debts'!$F$7&lt;'Your debts'!$F$10),M189,0)+IF(AND('Your debts'!$F$8&lt;&gt;"",'Your debts'!$F$10&lt;&gt;"",'Your debts'!$F$8&lt;'Your debts'!$F$10),R189,0)+IF(AND('Your debts'!$F$9&lt;&gt;"",'Your debts'!$F$10&lt;&gt;"",'Your debts'!$F$9&lt;'Your debts'!$F$10),W189,0)+IF(AND('Your debts'!$F$11&lt;&gt;"",'Your debts'!$F$10&lt;&gt;"",'Your debts'!$F$11&lt;'Your debts'!$F$10),AG189,0)+IF(AND('Your debts'!$F$12&lt;&gt;"",'Your debts'!$F$10&lt;&gt;"",'Your debts'!$F$12&lt;'Your debts'!$F$10),AL189,0)+IF(AND('Your debts'!$F$13&lt;&gt;"",'Your debts'!$F$10&lt;&gt;"",'Your debts'!$F$13&lt;'Your debts'!$F$10),AQ189,0)+IF(AND('Your debts'!$F$14&lt;&gt;"",'Your debts'!$F$10&lt;&gt;"",'Your debts'!$F$14&lt;'Your debts'!$F$10),AV189,0)+IF(AND('Your debts'!$F$15&lt;&gt;"",'Your debts'!$F$10&lt;&gt;"",'Your debts'!$F$15&lt;'Your debts'!$F$10),BA189,0)))))</f>
        <v/>
      </c>
      <c r="AD189" s="33">
        <f>AB189-AC189</f>
        <v/>
      </c>
      <c r="AE189" s="33">
        <f>IF(AI188&lt;=0,0,ROUND(AI188*(1+'Your debts'!$D$11/1200),2))</f>
        <v/>
      </c>
      <c r="AF189" s="33">
        <f>IF(AE189&lt;=0,0,MIN('Your debts'!$E$11,AE189))</f>
        <v/>
      </c>
      <c r="AG189" s="33">
        <f>AE189-AF189</f>
        <v/>
      </c>
      <c r="AH189" s="33">
        <f>IF('Your debts'!$F$11="",0,MIN(AG189,MAX(0,MAX(0,'Your debts'!$C$19-(G189+L189+Q189+V189+AA189+AF189+AK189+AP189+AU189+AZ189))-(IF(AND('Your debts'!$F$6&lt;&gt;"",'Your debts'!$F$11&lt;&gt;"",'Your debts'!$F$6&lt;'Your debts'!$F$11),H189,0)+IF(AND('Your debts'!$F$7&lt;&gt;"",'Your debts'!$F$11&lt;&gt;"",'Your debts'!$F$7&lt;'Your debts'!$F$11),M189,0)+IF(AND('Your debts'!$F$8&lt;&gt;"",'Your debts'!$F$11&lt;&gt;"",'Your debts'!$F$8&lt;'Your debts'!$F$11),R189,0)+IF(AND('Your debts'!$F$9&lt;&gt;"",'Your debts'!$F$11&lt;&gt;"",'Your debts'!$F$9&lt;'Your debts'!$F$11),W189,0)+IF(AND('Your debts'!$F$10&lt;&gt;"",'Your debts'!$F$11&lt;&gt;"",'Your debts'!$F$10&lt;'Your debts'!$F$11),AB189,0)+IF(AND('Your debts'!$F$12&lt;&gt;"",'Your debts'!$F$11&lt;&gt;"",'Your debts'!$F$12&lt;'Your debts'!$F$11),AL189,0)+IF(AND('Your debts'!$F$13&lt;&gt;"",'Your debts'!$F$11&lt;&gt;"",'Your debts'!$F$13&lt;'Your debts'!$F$11),AQ189,0)+IF(AND('Your debts'!$F$14&lt;&gt;"",'Your debts'!$F$11&lt;&gt;"",'Your debts'!$F$14&lt;'Your debts'!$F$11),AV189,0)+IF(AND('Your debts'!$F$15&lt;&gt;"",'Your debts'!$F$11&lt;&gt;"",'Your debts'!$F$15&lt;'Your debts'!$F$11),BA189,0)))))</f>
        <v/>
      </c>
      <c r="AI189" s="33">
        <f>AG189-AH189</f>
        <v/>
      </c>
      <c r="AJ189" s="33">
        <f>IF(AN188&lt;=0,0,ROUND(AN188*(1+'Your debts'!$D$12/1200),2))</f>
        <v/>
      </c>
      <c r="AK189" s="33">
        <f>IF(AJ189&lt;=0,0,MIN('Your debts'!$E$12,AJ189))</f>
        <v/>
      </c>
      <c r="AL189" s="33">
        <f>AJ189-AK189</f>
        <v/>
      </c>
      <c r="AM189" s="33">
        <f>IF('Your debts'!$F$12="",0,MIN(AL189,MAX(0,MAX(0,'Your debts'!$C$19-(G189+L189+Q189+V189+AA189+AF189+AK189+AP189+AU189+AZ189))-(IF(AND('Your debts'!$F$6&lt;&gt;"",'Your debts'!$F$12&lt;&gt;"",'Your debts'!$F$6&lt;'Your debts'!$F$12),H189,0)+IF(AND('Your debts'!$F$7&lt;&gt;"",'Your debts'!$F$12&lt;&gt;"",'Your debts'!$F$7&lt;'Your debts'!$F$12),M189,0)+IF(AND('Your debts'!$F$8&lt;&gt;"",'Your debts'!$F$12&lt;&gt;"",'Your debts'!$F$8&lt;'Your debts'!$F$12),R189,0)+IF(AND('Your debts'!$F$9&lt;&gt;"",'Your debts'!$F$12&lt;&gt;"",'Your debts'!$F$9&lt;'Your debts'!$F$12),W189,0)+IF(AND('Your debts'!$F$10&lt;&gt;"",'Your debts'!$F$12&lt;&gt;"",'Your debts'!$F$10&lt;'Your debts'!$F$12),AB189,0)+IF(AND('Your debts'!$F$11&lt;&gt;"",'Your debts'!$F$12&lt;&gt;"",'Your debts'!$F$11&lt;'Your debts'!$F$12),AG189,0)+IF(AND('Your debts'!$F$13&lt;&gt;"",'Your debts'!$F$12&lt;&gt;"",'Your debts'!$F$13&lt;'Your debts'!$F$12),AQ189,0)+IF(AND('Your debts'!$F$14&lt;&gt;"",'Your debts'!$F$12&lt;&gt;"",'Your debts'!$F$14&lt;'Your debts'!$F$12),AV189,0)+IF(AND('Your debts'!$F$15&lt;&gt;"",'Your debts'!$F$12&lt;&gt;"",'Your debts'!$F$15&lt;'Your debts'!$F$12),BA189,0)))))</f>
        <v/>
      </c>
      <c r="AN189" s="33">
        <f>AL189-AM189</f>
        <v/>
      </c>
      <c r="AO189" s="33">
        <f>IF(AS188&lt;=0,0,ROUND(AS188*(1+'Your debts'!$D$13/1200),2))</f>
        <v/>
      </c>
      <c r="AP189" s="33">
        <f>IF(AO189&lt;=0,0,MIN('Your debts'!$E$13,AO189))</f>
        <v/>
      </c>
      <c r="AQ189" s="33">
        <f>AO189-AP189</f>
        <v/>
      </c>
      <c r="AR189" s="33">
        <f>IF('Your debts'!$F$13="",0,MIN(AQ189,MAX(0,MAX(0,'Your debts'!$C$19-(G189+L189+Q189+V189+AA189+AF189+AK189+AP189+AU189+AZ189))-(IF(AND('Your debts'!$F$6&lt;&gt;"",'Your debts'!$F$13&lt;&gt;"",'Your debts'!$F$6&lt;'Your debts'!$F$13),H189,0)+IF(AND('Your debts'!$F$7&lt;&gt;"",'Your debts'!$F$13&lt;&gt;"",'Your debts'!$F$7&lt;'Your debts'!$F$13),M189,0)+IF(AND('Your debts'!$F$8&lt;&gt;"",'Your debts'!$F$13&lt;&gt;"",'Your debts'!$F$8&lt;'Your debts'!$F$13),R189,0)+IF(AND('Your debts'!$F$9&lt;&gt;"",'Your debts'!$F$13&lt;&gt;"",'Your debts'!$F$9&lt;'Your debts'!$F$13),W189,0)+IF(AND('Your debts'!$F$10&lt;&gt;"",'Your debts'!$F$13&lt;&gt;"",'Your debts'!$F$10&lt;'Your debts'!$F$13),AB189,0)+IF(AND('Your debts'!$F$11&lt;&gt;"",'Your debts'!$F$13&lt;&gt;"",'Your debts'!$F$11&lt;'Your debts'!$F$13),AG189,0)+IF(AND('Your debts'!$F$12&lt;&gt;"",'Your debts'!$F$13&lt;&gt;"",'Your debts'!$F$12&lt;'Your debts'!$F$13),AL189,0)+IF(AND('Your debts'!$F$14&lt;&gt;"",'Your debts'!$F$13&lt;&gt;"",'Your debts'!$F$14&lt;'Your debts'!$F$13),AV189,0)+IF(AND('Your debts'!$F$15&lt;&gt;"",'Your debts'!$F$13&lt;&gt;"",'Your debts'!$F$15&lt;'Your debts'!$F$13),BA189,0)))))</f>
        <v/>
      </c>
      <c r="AS189" s="33">
        <f>AQ189-AR189</f>
        <v/>
      </c>
      <c r="AT189" s="33">
        <f>IF(AX188&lt;=0,0,ROUND(AX188*(1+'Your debts'!$D$14/1200),2))</f>
        <v/>
      </c>
      <c r="AU189" s="33">
        <f>IF(AT189&lt;=0,0,MIN('Your debts'!$E$14,AT189))</f>
        <v/>
      </c>
      <c r="AV189" s="33">
        <f>AT189-AU189</f>
        <v/>
      </c>
      <c r="AW189" s="33">
        <f>IF('Your debts'!$F$14="",0,MIN(AV189,MAX(0,MAX(0,'Your debts'!$C$19-(G189+L189+Q189+V189+AA189+AF189+AK189+AP189+AU189+AZ189))-(IF(AND('Your debts'!$F$6&lt;&gt;"",'Your debts'!$F$14&lt;&gt;"",'Your debts'!$F$6&lt;'Your debts'!$F$14),H189,0)+IF(AND('Your debts'!$F$7&lt;&gt;"",'Your debts'!$F$14&lt;&gt;"",'Your debts'!$F$7&lt;'Your debts'!$F$14),M189,0)+IF(AND('Your debts'!$F$8&lt;&gt;"",'Your debts'!$F$14&lt;&gt;"",'Your debts'!$F$8&lt;'Your debts'!$F$14),R189,0)+IF(AND('Your debts'!$F$9&lt;&gt;"",'Your debts'!$F$14&lt;&gt;"",'Your debts'!$F$9&lt;'Your debts'!$F$14),W189,0)+IF(AND('Your debts'!$F$10&lt;&gt;"",'Your debts'!$F$14&lt;&gt;"",'Your debts'!$F$10&lt;'Your debts'!$F$14),AB189,0)+IF(AND('Your debts'!$F$11&lt;&gt;"",'Your debts'!$F$14&lt;&gt;"",'Your debts'!$F$11&lt;'Your debts'!$F$14),AG189,0)+IF(AND('Your debts'!$F$12&lt;&gt;"",'Your debts'!$F$14&lt;&gt;"",'Your debts'!$F$12&lt;'Your debts'!$F$14),AL189,0)+IF(AND('Your debts'!$F$13&lt;&gt;"",'Your debts'!$F$14&lt;&gt;"",'Your debts'!$F$13&lt;'Your debts'!$F$14),AQ189,0)+IF(AND('Your debts'!$F$15&lt;&gt;"",'Your debts'!$F$14&lt;&gt;"",'Your debts'!$F$15&lt;'Your debts'!$F$14),BA189,0)))))</f>
        <v/>
      </c>
      <c r="AX189" s="33">
        <f>AV189-AW189</f>
        <v/>
      </c>
      <c r="AY189" s="33">
        <f>IF(BC188&lt;=0,0,ROUND(BC188*(1+'Your debts'!$D$15/1200),2))</f>
        <v/>
      </c>
      <c r="AZ189" s="33">
        <f>IF(AY189&lt;=0,0,MIN('Your debts'!$E$15,AY189))</f>
        <v/>
      </c>
      <c r="BA189" s="33">
        <f>AY189-AZ189</f>
        <v/>
      </c>
      <c r="BB189" s="33">
        <f>IF('Your debts'!$F$15="",0,MIN(BA189,MAX(0,MAX(0,'Your debts'!$C$19-(G189+L189+Q189+V189+AA189+AF189+AK189+AP189+AU189+AZ189))-(IF(AND('Your debts'!$F$6&lt;&gt;"",'Your debts'!$F$15&lt;&gt;"",'Your debts'!$F$6&lt;'Your debts'!$F$15),H189,0)+IF(AND('Your debts'!$F$7&lt;&gt;"",'Your debts'!$F$15&lt;&gt;"",'Your debts'!$F$7&lt;'Your debts'!$F$15),M189,0)+IF(AND('Your debts'!$F$8&lt;&gt;"",'Your debts'!$F$15&lt;&gt;"",'Your debts'!$F$8&lt;'Your debts'!$F$15),R189,0)+IF(AND('Your debts'!$F$9&lt;&gt;"",'Your debts'!$F$15&lt;&gt;"",'Your debts'!$F$9&lt;'Your debts'!$F$15),W189,0)+IF(AND('Your debts'!$F$10&lt;&gt;"",'Your debts'!$F$15&lt;&gt;"",'Your debts'!$F$10&lt;'Your debts'!$F$15),AB189,0)+IF(AND('Your debts'!$F$11&lt;&gt;"",'Your debts'!$F$15&lt;&gt;"",'Your debts'!$F$11&lt;'Your debts'!$F$15),AG189,0)+IF(AND('Your debts'!$F$12&lt;&gt;"",'Your debts'!$F$15&lt;&gt;"",'Your debts'!$F$12&lt;'Your debts'!$F$15),AL189,0)+IF(AND('Your debts'!$F$13&lt;&gt;"",'Your debts'!$F$15&lt;&gt;"",'Your debts'!$F$13&lt;'Your debts'!$F$15),AQ189,0)+IF(AND('Your debts'!$F$14&lt;&gt;"",'Your debts'!$F$15&lt;&gt;"",'Your debts'!$F$14&lt;'Your debts'!$F$15),AV189,0)))))</f>
        <v/>
      </c>
      <c r="BC189" s="33">
        <f>BA189-BB189</f>
        <v/>
      </c>
    </row>
    <row r="190">
      <c r="A190" s="30" t="n">
        <v>175</v>
      </c>
      <c r="B190" s="31">
        <f>EDATE($B$15,175)</f>
        <v/>
      </c>
      <c r="C190" s="32">
        <f>IF(J189&lt;=0,0,F190-J189)+IF(O189&lt;=0,0,K190-O189)+IF(T189&lt;=0,0,P190-T189)+IF(Y189&lt;=0,0,U190-Y189)+IF(AD189&lt;=0,0,Z190-AD189)+IF(AI189&lt;=0,0,AE190-AI189)+IF(AN189&lt;=0,0,AJ190-AN189)+IF(AS189&lt;=0,0,AO190-AS189)+IF(AX189&lt;=0,0,AT190-AX189)+IF(BC189&lt;=0,0,AY190-BC189)</f>
        <v/>
      </c>
      <c r="D190" s="32">
        <f>G190+I190+L190+N190+Q190+S190+V190+X190+AA190+AC190+AF190+AH190+AK190+AM190+AP190+AR190+AU190+AW190+AZ190+BB190</f>
        <v/>
      </c>
      <c r="E190" s="32">
        <f>J190+O190+T190+Y190+AD190+AI190+AN190+AS190+AX190+BC190</f>
        <v/>
      </c>
      <c r="F190" s="33">
        <f>IF(J189&lt;=0,0,ROUND(J189*(1+'Your debts'!$D$6/1200),2))</f>
        <v/>
      </c>
      <c r="G190" s="33">
        <f>IF(F190&lt;=0,0,MIN('Your debts'!$E$6,F190))</f>
        <v/>
      </c>
      <c r="H190" s="33">
        <f>F190-G190</f>
        <v/>
      </c>
      <c r="I190" s="33">
        <f>IF('Your debts'!$F$6="",0,MIN(H190,MAX(0,MAX(0,'Your debts'!$C$19-(G190+L190+Q190+V190+AA190+AF190+AK190+AP190+AU190+AZ190))-(IF(AND('Your debts'!$F$7&lt;&gt;"",'Your debts'!$F$6&lt;&gt;"",'Your debts'!$F$7&lt;'Your debts'!$F$6),M190,0)+IF(AND('Your debts'!$F$8&lt;&gt;"",'Your debts'!$F$6&lt;&gt;"",'Your debts'!$F$8&lt;'Your debts'!$F$6),R190,0)+IF(AND('Your debts'!$F$9&lt;&gt;"",'Your debts'!$F$6&lt;&gt;"",'Your debts'!$F$9&lt;'Your debts'!$F$6),W190,0)+IF(AND('Your debts'!$F$10&lt;&gt;"",'Your debts'!$F$6&lt;&gt;"",'Your debts'!$F$10&lt;'Your debts'!$F$6),AB190,0)+IF(AND('Your debts'!$F$11&lt;&gt;"",'Your debts'!$F$6&lt;&gt;"",'Your debts'!$F$11&lt;'Your debts'!$F$6),AG190,0)+IF(AND('Your debts'!$F$12&lt;&gt;"",'Your debts'!$F$6&lt;&gt;"",'Your debts'!$F$12&lt;'Your debts'!$F$6),AL190,0)+IF(AND('Your debts'!$F$13&lt;&gt;"",'Your debts'!$F$6&lt;&gt;"",'Your debts'!$F$13&lt;'Your debts'!$F$6),AQ190,0)+IF(AND('Your debts'!$F$14&lt;&gt;"",'Your debts'!$F$6&lt;&gt;"",'Your debts'!$F$14&lt;'Your debts'!$F$6),AV190,0)+IF(AND('Your debts'!$F$15&lt;&gt;"",'Your debts'!$F$6&lt;&gt;"",'Your debts'!$F$15&lt;'Your debts'!$F$6),BA190,0)))))</f>
        <v/>
      </c>
      <c r="J190" s="33">
        <f>H190-I190</f>
        <v/>
      </c>
      <c r="K190" s="33">
        <f>IF(O189&lt;=0,0,ROUND(O189*(1+'Your debts'!$D$7/1200),2))</f>
        <v/>
      </c>
      <c r="L190" s="33">
        <f>IF(K190&lt;=0,0,MIN('Your debts'!$E$7,K190))</f>
        <v/>
      </c>
      <c r="M190" s="33">
        <f>K190-L190</f>
        <v/>
      </c>
      <c r="N190" s="33">
        <f>IF('Your debts'!$F$7="",0,MIN(M190,MAX(0,MAX(0,'Your debts'!$C$19-(G190+L190+Q190+V190+AA190+AF190+AK190+AP190+AU190+AZ190))-(IF(AND('Your debts'!$F$6&lt;&gt;"",'Your debts'!$F$7&lt;&gt;"",'Your debts'!$F$6&lt;'Your debts'!$F$7),H190,0)+IF(AND('Your debts'!$F$8&lt;&gt;"",'Your debts'!$F$7&lt;&gt;"",'Your debts'!$F$8&lt;'Your debts'!$F$7),R190,0)+IF(AND('Your debts'!$F$9&lt;&gt;"",'Your debts'!$F$7&lt;&gt;"",'Your debts'!$F$9&lt;'Your debts'!$F$7),W190,0)+IF(AND('Your debts'!$F$10&lt;&gt;"",'Your debts'!$F$7&lt;&gt;"",'Your debts'!$F$10&lt;'Your debts'!$F$7),AB190,0)+IF(AND('Your debts'!$F$11&lt;&gt;"",'Your debts'!$F$7&lt;&gt;"",'Your debts'!$F$11&lt;'Your debts'!$F$7),AG190,0)+IF(AND('Your debts'!$F$12&lt;&gt;"",'Your debts'!$F$7&lt;&gt;"",'Your debts'!$F$12&lt;'Your debts'!$F$7),AL190,0)+IF(AND('Your debts'!$F$13&lt;&gt;"",'Your debts'!$F$7&lt;&gt;"",'Your debts'!$F$13&lt;'Your debts'!$F$7),AQ190,0)+IF(AND('Your debts'!$F$14&lt;&gt;"",'Your debts'!$F$7&lt;&gt;"",'Your debts'!$F$14&lt;'Your debts'!$F$7),AV190,0)+IF(AND('Your debts'!$F$15&lt;&gt;"",'Your debts'!$F$7&lt;&gt;"",'Your debts'!$F$15&lt;'Your debts'!$F$7),BA190,0)))))</f>
        <v/>
      </c>
      <c r="O190" s="33">
        <f>M190-N190</f>
        <v/>
      </c>
      <c r="P190" s="33">
        <f>IF(T189&lt;=0,0,ROUND(T189*(1+'Your debts'!$D$8/1200),2))</f>
        <v/>
      </c>
      <c r="Q190" s="33">
        <f>IF(P190&lt;=0,0,MIN('Your debts'!$E$8,P190))</f>
        <v/>
      </c>
      <c r="R190" s="33">
        <f>P190-Q190</f>
        <v/>
      </c>
      <c r="S190" s="33">
        <f>IF('Your debts'!$F$8="",0,MIN(R190,MAX(0,MAX(0,'Your debts'!$C$19-(G190+L190+Q190+V190+AA190+AF190+AK190+AP190+AU190+AZ190))-(IF(AND('Your debts'!$F$6&lt;&gt;"",'Your debts'!$F$8&lt;&gt;"",'Your debts'!$F$6&lt;'Your debts'!$F$8),H190,0)+IF(AND('Your debts'!$F$7&lt;&gt;"",'Your debts'!$F$8&lt;&gt;"",'Your debts'!$F$7&lt;'Your debts'!$F$8),M190,0)+IF(AND('Your debts'!$F$9&lt;&gt;"",'Your debts'!$F$8&lt;&gt;"",'Your debts'!$F$9&lt;'Your debts'!$F$8),W190,0)+IF(AND('Your debts'!$F$10&lt;&gt;"",'Your debts'!$F$8&lt;&gt;"",'Your debts'!$F$10&lt;'Your debts'!$F$8),AB190,0)+IF(AND('Your debts'!$F$11&lt;&gt;"",'Your debts'!$F$8&lt;&gt;"",'Your debts'!$F$11&lt;'Your debts'!$F$8),AG190,0)+IF(AND('Your debts'!$F$12&lt;&gt;"",'Your debts'!$F$8&lt;&gt;"",'Your debts'!$F$12&lt;'Your debts'!$F$8),AL190,0)+IF(AND('Your debts'!$F$13&lt;&gt;"",'Your debts'!$F$8&lt;&gt;"",'Your debts'!$F$13&lt;'Your debts'!$F$8),AQ190,0)+IF(AND('Your debts'!$F$14&lt;&gt;"",'Your debts'!$F$8&lt;&gt;"",'Your debts'!$F$14&lt;'Your debts'!$F$8),AV190,0)+IF(AND('Your debts'!$F$15&lt;&gt;"",'Your debts'!$F$8&lt;&gt;"",'Your debts'!$F$15&lt;'Your debts'!$F$8),BA190,0)))))</f>
        <v/>
      </c>
      <c r="T190" s="33">
        <f>R190-S190</f>
        <v/>
      </c>
      <c r="U190" s="33">
        <f>IF(Y189&lt;=0,0,ROUND(Y189*(1+'Your debts'!$D$9/1200),2))</f>
        <v/>
      </c>
      <c r="V190" s="33">
        <f>IF(U190&lt;=0,0,MIN('Your debts'!$E$9,U190))</f>
        <v/>
      </c>
      <c r="W190" s="33">
        <f>U190-V190</f>
        <v/>
      </c>
      <c r="X190" s="33">
        <f>IF('Your debts'!$F$9="",0,MIN(W190,MAX(0,MAX(0,'Your debts'!$C$19-(G190+L190+Q190+V190+AA190+AF190+AK190+AP190+AU190+AZ190))-(IF(AND('Your debts'!$F$6&lt;&gt;"",'Your debts'!$F$9&lt;&gt;"",'Your debts'!$F$6&lt;'Your debts'!$F$9),H190,0)+IF(AND('Your debts'!$F$7&lt;&gt;"",'Your debts'!$F$9&lt;&gt;"",'Your debts'!$F$7&lt;'Your debts'!$F$9),M190,0)+IF(AND('Your debts'!$F$8&lt;&gt;"",'Your debts'!$F$9&lt;&gt;"",'Your debts'!$F$8&lt;'Your debts'!$F$9),R190,0)+IF(AND('Your debts'!$F$10&lt;&gt;"",'Your debts'!$F$9&lt;&gt;"",'Your debts'!$F$10&lt;'Your debts'!$F$9),AB190,0)+IF(AND('Your debts'!$F$11&lt;&gt;"",'Your debts'!$F$9&lt;&gt;"",'Your debts'!$F$11&lt;'Your debts'!$F$9),AG190,0)+IF(AND('Your debts'!$F$12&lt;&gt;"",'Your debts'!$F$9&lt;&gt;"",'Your debts'!$F$12&lt;'Your debts'!$F$9),AL190,0)+IF(AND('Your debts'!$F$13&lt;&gt;"",'Your debts'!$F$9&lt;&gt;"",'Your debts'!$F$13&lt;'Your debts'!$F$9),AQ190,0)+IF(AND('Your debts'!$F$14&lt;&gt;"",'Your debts'!$F$9&lt;&gt;"",'Your debts'!$F$14&lt;'Your debts'!$F$9),AV190,0)+IF(AND('Your debts'!$F$15&lt;&gt;"",'Your debts'!$F$9&lt;&gt;"",'Your debts'!$F$15&lt;'Your debts'!$F$9),BA190,0)))))</f>
        <v/>
      </c>
      <c r="Y190" s="33">
        <f>W190-X190</f>
        <v/>
      </c>
      <c r="Z190" s="33">
        <f>IF(AD189&lt;=0,0,ROUND(AD189*(1+'Your debts'!$D$10/1200),2))</f>
        <v/>
      </c>
      <c r="AA190" s="33">
        <f>IF(Z190&lt;=0,0,MIN('Your debts'!$E$10,Z190))</f>
        <v/>
      </c>
      <c r="AB190" s="33">
        <f>Z190-AA190</f>
        <v/>
      </c>
      <c r="AC190" s="33">
        <f>IF('Your debts'!$F$10="",0,MIN(AB190,MAX(0,MAX(0,'Your debts'!$C$19-(G190+L190+Q190+V190+AA190+AF190+AK190+AP190+AU190+AZ190))-(IF(AND('Your debts'!$F$6&lt;&gt;"",'Your debts'!$F$10&lt;&gt;"",'Your debts'!$F$6&lt;'Your debts'!$F$10),H190,0)+IF(AND('Your debts'!$F$7&lt;&gt;"",'Your debts'!$F$10&lt;&gt;"",'Your debts'!$F$7&lt;'Your debts'!$F$10),M190,0)+IF(AND('Your debts'!$F$8&lt;&gt;"",'Your debts'!$F$10&lt;&gt;"",'Your debts'!$F$8&lt;'Your debts'!$F$10),R190,0)+IF(AND('Your debts'!$F$9&lt;&gt;"",'Your debts'!$F$10&lt;&gt;"",'Your debts'!$F$9&lt;'Your debts'!$F$10),W190,0)+IF(AND('Your debts'!$F$11&lt;&gt;"",'Your debts'!$F$10&lt;&gt;"",'Your debts'!$F$11&lt;'Your debts'!$F$10),AG190,0)+IF(AND('Your debts'!$F$12&lt;&gt;"",'Your debts'!$F$10&lt;&gt;"",'Your debts'!$F$12&lt;'Your debts'!$F$10),AL190,0)+IF(AND('Your debts'!$F$13&lt;&gt;"",'Your debts'!$F$10&lt;&gt;"",'Your debts'!$F$13&lt;'Your debts'!$F$10),AQ190,0)+IF(AND('Your debts'!$F$14&lt;&gt;"",'Your debts'!$F$10&lt;&gt;"",'Your debts'!$F$14&lt;'Your debts'!$F$10),AV190,0)+IF(AND('Your debts'!$F$15&lt;&gt;"",'Your debts'!$F$10&lt;&gt;"",'Your debts'!$F$15&lt;'Your debts'!$F$10),BA190,0)))))</f>
        <v/>
      </c>
      <c r="AD190" s="33">
        <f>AB190-AC190</f>
        <v/>
      </c>
      <c r="AE190" s="33">
        <f>IF(AI189&lt;=0,0,ROUND(AI189*(1+'Your debts'!$D$11/1200),2))</f>
        <v/>
      </c>
      <c r="AF190" s="33">
        <f>IF(AE190&lt;=0,0,MIN('Your debts'!$E$11,AE190))</f>
        <v/>
      </c>
      <c r="AG190" s="33">
        <f>AE190-AF190</f>
        <v/>
      </c>
      <c r="AH190" s="33">
        <f>IF('Your debts'!$F$11="",0,MIN(AG190,MAX(0,MAX(0,'Your debts'!$C$19-(G190+L190+Q190+V190+AA190+AF190+AK190+AP190+AU190+AZ190))-(IF(AND('Your debts'!$F$6&lt;&gt;"",'Your debts'!$F$11&lt;&gt;"",'Your debts'!$F$6&lt;'Your debts'!$F$11),H190,0)+IF(AND('Your debts'!$F$7&lt;&gt;"",'Your debts'!$F$11&lt;&gt;"",'Your debts'!$F$7&lt;'Your debts'!$F$11),M190,0)+IF(AND('Your debts'!$F$8&lt;&gt;"",'Your debts'!$F$11&lt;&gt;"",'Your debts'!$F$8&lt;'Your debts'!$F$11),R190,0)+IF(AND('Your debts'!$F$9&lt;&gt;"",'Your debts'!$F$11&lt;&gt;"",'Your debts'!$F$9&lt;'Your debts'!$F$11),W190,0)+IF(AND('Your debts'!$F$10&lt;&gt;"",'Your debts'!$F$11&lt;&gt;"",'Your debts'!$F$10&lt;'Your debts'!$F$11),AB190,0)+IF(AND('Your debts'!$F$12&lt;&gt;"",'Your debts'!$F$11&lt;&gt;"",'Your debts'!$F$12&lt;'Your debts'!$F$11),AL190,0)+IF(AND('Your debts'!$F$13&lt;&gt;"",'Your debts'!$F$11&lt;&gt;"",'Your debts'!$F$13&lt;'Your debts'!$F$11),AQ190,0)+IF(AND('Your debts'!$F$14&lt;&gt;"",'Your debts'!$F$11&lt;&gt;"",'Your debts'!$F$14&lt;'Your debts'!$F$11),AV190,0)+IF(AND('Your debts'!$F$15&lt;&gt;"",'Your debts'!$F$11&lt;&gt;"",'Your debts'!$F$15&lt;'Your debts'!$F$11),BA190,0)))))</f>
        <v/>
      </c>
      <c r="AI190" s="33">
        <f>AG190-AH190</f>
        <v/>
      </c>
      <c r="AJ190" s="33">
        <f>IF(AN189&lt;=0,0,ROUND(AN189*(1+'Your debts'!$D$12/1200),2))</f>
        <v/>
      </c>
      <c r="AK190" s="33">
        <f>IF(AJ190&lt;=0,0,MIN('Your debts'!$E$12,AJ190))</f>
        <v/>
      </c>
      <c r="AL190" s="33">
        <f>AJ190-AK190</f>
        <v/>
      </c>
      <c r="AM190" s="33">
        <f>IF('Your debts'!$F$12="",0,MIN(AL190,MAX(0,MAX(0,'Your debts'!$C$19-(G190+L190+Q190+V190+AA190+AF190+AK190+AP190+AU190+AZ190))-(IF(AND('Your debts'!$F$6&lt;&gt;"",'Your debts'!$F$12&lt;&gt;"",'Your debts'!$F$6&lt;'Your debts'!$F$12),H190,0)+IF(AND('Your debts'!$F$7&lt;&gt;"",'Your debts'!$F$12&lt;&gt;"",'Your debts'!$F$7&lt;'Your debts'!$F$12),M190,0)+IF(AND('Your debts'!$F$8&lt;&gt;"",'Your debts'!$F$12&lt;&gt;"",'Your debts'!$F$8&lt;'Your debts'!$F$12),R190,0)+IF(AND('Your debts'!$F$9&lt;&gt;"",'Your debts'!$F$12&lt;&gt;"",'Your debts'!$F$9&lt;'Your debts'!$F$12),W190,0)+IF(AND('Your debts'!$F$10&lt;&gt;"",'Your debts'!$F$12&lt;&gt;"",'Your debts'!$F$10&lt;'Your debts'!$F$12),AB190,0)+IF(AND('Your debts'!$F$11&lt;&gt;"",'Your debts'!$F$12&lt;&gt;"",'Your debts'!$F$11&lt;'Your debts'!$F$12),AG190,0)+IF(AND('Your debts'!$F$13&lt;&gt;"",'Your debts'!$F$12&lt;&gt;"",'Your debts'!$F$13&lt;'Your debts'!$F$12),AQ190,0)+IF(AND('Your debts'!$F$14&lt;&gt;"",'Your debts'!$F$12&lt;&gt;"",'Your debts'!$F$14&lt;'Your debts'!$F$12),AV190,0)+IF(AND('Your debts'!$F$15&lt;&gt;"",'Your debts'!$F$12&lt;&gt;"",'Your debts'!$F$15&lt;'Your debts'!$F$12),BA190,0)))))</f>
        <v/>
      </c>
      <c r="AN190" s="33">
        <f>AL190-AM190</f>
        <v/>
      </c>
      <c r="AO190" s="33">
        <f>IF(AS189&lt;=0,0,ROUND(AS189*(1+'Your debts'!$D$13/1200),2))</f>
        <v/>
      </c>
      <c r="AP190" s="33">
        <f>IF(AO190&lt;=0,0,MIN('Your debts'!$E$13,AO190))</f>
        <v/>
      </c>
      <c r="AQ190" s="33">
        <f>AO190-AP190</f>
        <v/>
      </c>
      <c r="AR190" s="33">
        <f>IF('Your debts'!$F$13="",0,MIN(AQ190,MAX(0,MAX(0,'Your debts'!$C$19-(G190+L190+Q190+V190+AA190+AF190+AK190+AP190+AU190+AZ190))-(IF(AND('Your debts'!$F$6&lt;&gt;"",'Your debts'!$F$13&lt;&gt;"",'Your debts'!$F$6&lt;'Your debts'!$F$13),H190,0)+IF(AND('Your debts'!$F$7&lt;&gt;"",'Your debts'!$F$13&lt;&gt;"",'Your debts'!$F$7&lt;'Your debts'!$F$13),M190,0)+IF(AND('Your debts'!$F$8&lt;&gt;"",'Your debts'!$F$13&lt;&gt;"",'Your debts'!$F$8&lt;'Your debts'!$F$13),R190,0)+IF(AND('Your debts'!$F$9&lt;&gt;"",'Your debts'!$F$13&lt;&gt;"",'Your debts'!$F$9&lt;'Your debts'!$F$13),W190,0)+IF(AND('Your debts'!$F$10&lt;&gt;"",'Your debts'!$F$13&lt;&gt;"",'Your debts'!$F$10&lt;'Your debts'!$F$13),AB190,0)+IF(AND('Your debts'!$F$11&lt;&gt;"",'Your debts'!$F$13&lt;&gt;"",'Your debts'!$F$11&lt;'Your debts'!$F$13),AG190,0)+IF(AND('Your debts'!$F$12&lt;&gt;"",'Your debts'!$F$13&lt;&gt;"",'Your debts'!$F$12&lt;'Your debts'!$F$13),AL190,0)+IF(AND('Your debts'!$F$14&lt;&gt;"",'Your debts'!$F$13&lt;&gt;"",'Your debts'!$F$14&lt;'Your debts'!$F$13),AV190,0)+IF(AND('Your debts'!$F$15&lt;&gt;"",'Your debts'!$F$13&lt;&gt;"",'Your debts'!$F$15&lt;'Your debts'!$F$13),BA190,0)))))</f>
        <v/>
      </c>
      <c r="AS190" s="33">
        <f>AQ190-AR190</f>
        <v/>
      </c>
      <c r="AT190" s="33">
        <f>IF(AX189&lt;=0,0,ROUND(AX189*(1+'Your debts'!$D$14/1200),2))</f>
        <v/>
      </c>
      <c r="AU190" s="33">
        <f>IF(AT190&lt;=0,0,MIN('Your debts'!$E$14,AT190))</f>
        <v/>
      </c>
      <c r="AV190" s="33">
        <f>AT190-AU190</f>
        <v/>
      </c>
      <c r="AW190" s="33">
        <f>IF('Your debts'!$F$14="",0,MIN(AV190,MAX(0,MAX(0,'Your debts'!$C$19-(G190+L190+Q190+V190+AA190+AF190+AK190+AP190+AU190+AZ190))-(IF(AND('Your debts'!$F$6&lt;&gt;"",'Your debts'!$F$14&lt;&gt;"",'Your debts'!$F$6&lt;'Your debts'!$F$14),H190,0)+IF(AND('Your debts'!$F$7&lt;&gt;"",'Your debts'!$F$14&lt;&gt;"",'Your debts'!$F$7&lt;'Your debts'!$F$14),M190,0)+IF(AND('Your debts'!$F$8&lt;&gt;"",'Your debts'!$F$14&lt;&gt;"",'Your debts'!$F$8&lt;'Your debts'!$F$14),R190,0)+IF(AND('Your debts'!$F$9&lt;&gt;"",'Your debts'!$F$14&lt;&gt;"",'Your debts'!$F$9&lt;'Your debts'!$F$14),W190,0)+IF(AND('Your debts'!$F$10&lt;&gt;"",'Your debts'!$F$14&lt;&gt;"",'Your debts'!$F$10&lt;'Your debts'!$F$14),AB190,0)+IF(AND('Your debts'!$F$11&lt;&gt;"",'Your debts'!$F$14&lt;&gt;"",'Your debts'!$F$11&lt;'Your debts'!$F$14),AG190,0)+IF(AND('Your debts'!$F$12&lt;&gt;"",'Your debts'!$F$14&lt;&gt;"",'Your debts'!$F$12&lt;'Your debts'!$F$14),AL190,0)+IF(AND('Your debts'!$F$13&lt;&gt;"",'Your debts'!$F$14&lt;&gt;"",'Your debts'!$F$13&lt;'Your debts'!$F$14),AQ190,0)+IF(AND('Your debts'!$F$15&lt;&gt;"",'Your debts'!$F$14&lt;&gt;"",'Your debts'!$F$15&lt;'Your debts'!$F$14),BA190,0)))))</f>
        <v/>
      </c>
      <c r="AX190" s="33">
        <f>AV190-AW190</f>
        <v/>
      </c>
      <c r="AY190" s="33">
        <f>IF(BC189&lt;=0,0,ROUND(BC189*(1+'Your debts'!$D$15/1200),2))</f>
        <v/>
      </c>
      <c r="AZ190" s="33">
        <f>IF(AY190&lt;=0,0,MIN('Your debts'!$E$15,AY190))</f>
        <v/>
      </c>
      <c r="BA190" s="33">
        <f>AY190-AZ190</f>
        <v/>
      </c>
      <c r="BB190" s="33">
        <f>IF('Your debts'!$F$15="",0,MIN(BA190,MAX(0,MAX(0,'Your debts'!$C$19-(G190+L190+Q190+V190+AA190+AF190+AK190+AP190+AU190+AZ190))-(IF(AND('Your debts'!$F$6&lt;&gt;"",'Your debts'!$F$15&lt;&gt;"",'Your debts'!$F$6&lt;'Your debts'!$F$15),H190,0)+IF(AND('Your debts'!$F$7&lt;&gt;"",'Your debts'!$F$15&lt;&gt;"",'Your debts'!$F$7&lt;'Your debts'!$F$15),M190,0)+IF(AND('Your debts'!$F$8&lt;&gt;"",'Your debts'!$F$15&lt;&gt;"",'Your debts'!$F$8&lt;'Your debts'!$F$15),R190,0)+IF(AND('Your debts'!$F$9&lt;&gt;"",'Your debts'!$F$15&lt;&gt;"",'Your debts'!$F$9&lt;'Your debts'!$F$15),W190,0)+IF(AND('Your debts'!$F$10&lt;&gt;"",'Your debts'!$F$15&lt;&gt;"",'Your debts'!$F$10&lt;'Your debts'!$F$15),AB190,0)+IF(AND('Your debts'!$F$11&lt;&gt;"",'Your debts'!$F$15&lt;&gt;"",'Your debts'!$F$11&lt;'Your debts'!$F$15),AG190,0)+IF(AND('Your debts'!$F$12&lt;&gt;"",'Your debts'!$F$15&lt;&gt;"",'Your debts'!$F$12&lt;'Your debts'!$F$15),AL190,0)+IF(AND('Your debts'!$F$13&lt;&gt;"",'Your debts'!$F$15&lt;&gt;"",'Your debts'!$F$13&lt;'Your debts'!$F$15),AQ190,0)+IF(AND('Your debts'!$F$14&lt;&gt;"",'Your debts'!$F$15&lt;&gt;"",'Your debts'!$F$14&lt;'Your debts'!$F$15),AV190,0)))))</f>
        <v/>
      </c>
      <c r="BC190" s="33">
        <f>BA190-BB190</f>
        <v/>
      </c>
    </row>
    <row r="191">
      <c r="A191" s="30" t="n">
        <v>176</v>
      </c>
      <c r="B191" s="31">
        <f>EDATE($B$15,176)</f>
        <v/>
      </c>
      <c r="C191" s="32">
        <f>IF(J190&lt;=0,0,F191-J190)+IF(O190&lt;=0,0,K191-O190)+IF(T190&lt;=0,0,P191-T190)+IF(Y190&lt;=0,0,U191-Y190)+IF(AD190&lt;=0,0,Z191-AD190)+IF(AI190&lt;=0,0,AE191-AI190)+IF(AN190&lt;=0,0,AJ191-AN190)+IF(AS190&lt;=0,0,AO191-AS190)+IF(AX190&lt;=0,0,AT191-AX190)+IF(BC190&lt;=0,0,AY191-BC190)</f>
        <v/>
      </c>
      <c r="D191" s="32">
        <f>G191+I191+L191+N191+Q191+S191+V191+X191+AA191+AC191+AF191+AH191+AK191+AM191+AP191+AR191+AU191+AW191+AZ191+BB191</f>
        <v/>
      </c>
      <c r="E191" s="32">
        <f>J191+O191+T191+Y191+AD191+AI191+AN191+AS191+AX191+BC191</f>
        <v/>
      </c>
      <c r="F191" s="33">
        <f>IF(J190&lt;=0,0,ROUND(J190*(1+'Your debts'!$D$6/1200),2))</f>
        <v/>
      </c>
      <c r="G191" s="33">
        <f>IF(F191&lt;=0,0,MIN('Your debts'!$E$6,F191))</f>
        <v/>
      </c>
      <c r="H191" s="33">
        <f>F191-G191</f>
        <v/>
      </c>
      <c r="I191" s="33">
        <f>IF('Your debts'!$F$6="",0,MIN(H191,MAX(0,MAX(0,'Your debts'!$C$19-(G191+L191+Q191+V191+AA191+AF191+AK191+AP191+AU191+AZ191))-(IF(AND('Your debts'!$F$7&lt;&gt;"",'Your debts'!$F$6&lt;&gt;"",'Your debts'!$F$7&lt;'Your debts'!$F$6),M191,0)+IF(AND('Your debts'!$F$8&lt;&gt;"",'Your debts'!$F$6&lt;&gt;"",'Your debts'!$F$8&lt;'Your debts'!$F$6),R191,0)+IF(AND('Your debts'!$F$9&lt;&gt;"",'Your debts'!$F$6&lt;&gt;"",'Your debts'!$F$9&lt;'Your debts'!$F$6),W191,0)+IF(AND('Your debts'!$F$10&lt;&gt;"",'Your debts'!$F$6&lt;&gt;"",'Your debts'!$F$10&lt;'Your debts'!$F$6),AB191,0)+IF(AND('Your debts'!$F$11&lt;&gt;"",'Your debts'!$F$6&lt;&gt;"",'Your debts'!$F$11&lt;'Your debts'!$F$6),AG191,0)+IF(AND('Your debts'!$F$12&lt;&gt;"",'Your debts'!$F$6&lt;&gt;"",'Your debts'!$F$12&lt;'Your debts'!$F$6),AL191,0)+IF(AND('Your debts'!$F$13&lt;&gt;"",'Your debts'!$F$6&lt;&gt;"",'Your debts'!$F$13&lt;'Your debts'!$F$6),AQ191,0)+IF(AND('Your debts'!$F$14&lt;&gt;"",'Your debts'!$F$6&lt;&gt;"",'Your debts'!$F$14&lt;'Your debts'!$F$6),AV191,0)+IF(AND('Your debts'!$F$15&lt;&gt;"",'Your debts'!$F$6&lt;&gt;"",'Your debts'!$F$15&lt;'Your debts'!$F$6),BA191,0)))))</f>
        <v/>
      </c>
      <c r="J191" s="33">
        <f>H191-I191</f>
        <v/>
      </c>
      <c r="K191" s="33">
        <f>IF(O190&lt;=0,0,ROUND(O190*(1+'Your debts'!$D$7/1200),2))</f>
        <v/>
      </c>
      <c r="L191" s="33">
        <f>IF(K191&lt;=0,0,MIN('Your debts'!$E$7,K191))</f>
        <v/>
      </c>
      <c r="M191" s="33">
        <f>K191-L191</f>
        <v/>
      </c>
      <c r="N191" s="33">
        <f>IF('Your debts'!$F$7="",0,MIN(M191,MAX(0,MAX(0,'Your debts'!$C$19-(G191+L191+Q191+V191+AA191+AF191+AK191+AP191+AU191+AZ191))-(IF(AND('Your debts'!$F$6&lt;&gt;"",'Your debts'!$F$7&lt;&gt;"",'Your debts'!$F$6&lt;'Your debts'!$F$7),H191,0)+IF(AND('Your debts'!$F$8&lt;&gt;"",'Your debts'!$F$7&lt;&gt;"",'Your debts'!$F$8&lt;'Your debts'!$F$7),R191,0)+IF(AND('Your debts'!$F$9&lt;&gt;"",'Your debts'!$F$7&lt;&gt;"",'Your debts'!$F$9&lt;'Your debts'!$F$7),W191,0)+IF(AND('Your debts'!$F$10&lt;&gt;"",'Your debts'!$F$7&lt;&gt;"",'Your debts'!$F$10&lt;'Your debts'!$F$7),AB191,0)+IF(AND('Your debts'!$F$11&lt;&gt;"",'Your debts'!$F$7&lt;&gt;"",'Your debts'!$F$11&lt;'Your debts'!$F$7),AG191,0)+IF(AND('Your debts'!$F$12&lt;&gt;"",'Your debts'!$F$7&lt;&gt;"",'Your debts'!$F$12&lt;'Your debts'!$F$7),AL191,0)+IF(AND('Your debts'!$F$13&lt;&gt;"",'Your debts'!$F$7&lt;&gt;"",'Your debts'!$F$13&lt;'Your debts'!$F$7),AQ191,0)+IF(AND('Your debts'!$F$14&lt;&gt;"",'Your debts'!$F$7&lt;&gt;"",'Your debts'!$F$14&lt;'Your debts'!$F$7),AV191,0)+IF(AND('Your debts'!$F$15&lt;&gt;"",'Your debts'!$F$7&lt;&gt;"",'Your debts'!$F$15&lt;'Your debts'!$F$7),BA191,0)))))</f>
        <v/>
      </c>
      <c r="O191" s="33">
        <f>M191-N191</f>
        <v/>
      </c>
      <c r="P191" s="33">
        <f>IF(T190&lt;=0,0,ROUND(T190*(1+'Your debts'!$D$8/1200),2))</f>
        <v/>
      </c>
      <c r="Q191" s="33">
        <f>IF(P191&lt;=0,0,MIN('Your debts'!$E$8,P191))</f>
        <v/>
      </c>
      <c r="R191" s="33">
        <f>P191-Q191</f>
        <v/>
      </c>
      <c r="S191" s="33">
        <f>IF('Your debts'!$F$8="",0,MIN(R191,MAX(0,MAX(0,'Your debts'!$C$19-(G191+L191+Q191+V191+AA191+AF191+AK191+AP191+AU191+AZ191))-(IF(AND('Your debts'!$F$6&lt;&gt;"",'Your debts'!$F$8&lt;&gt;"",'Your debts'!$F$6&lt;'Your debts'!$F$8),H191,0)+IF(AND('Your debts'!$F$7&lt;&gt;"",'Your debts'!$F$8&lt;&gt;"",'Your debts'!$F$7&lt;'Your debts'!$F$8),M191,0)+IF(AND('Your debts'!$F$9&lt;&gt;"",'Your debts'!$F$8&lt;&gt;"",'Your debts'!$F$9&lt;'Your debts'!$F$8),W191,0)+IF(AND('Your debts'!$F$10&lt;&gt;"",'Your debts'!$F$8&lt;&gt;"",'Your debts'!$F$10&lt;'Your debts'!$F$8),AB191,0)+IF(AND('Your debts'!$F$11&lt;&gt;"",'Your debts'!$F$8&lt;&gt;"",'Your debts'!$F$11&lt;'Your debts'!$F$8),AG191,0)+IF(AND('Your debts'!$F$12&lt;&gt;"",'Your debts'!$F$8&lt;&gt;"",'Your debts'!$F$12&lt;'Your debts'!$F$8),AL191,0)+IF(AND('Your debts'!$F$13&lt;&gt;"",'Your debts'!$F$8&lt;&gt;"",'Your debts'!$F$13&lt;'Your debts'!$F$8),AQ191,0)+IF(AND('Your debts'!$F$14&lt;&gt;"",'Your debts'!$F$8&lt;&gt;"",'Your debts'!$F$14&lt;'Your debts'!$F$8),AV191,0)+IF(AND('Your debts'!$F$15&lt;&gt;"",'Your debts'!$F$8&lt;&gt;"",'Your debts'!$F$15&lt;'Your debts'!$F$8),BA191,0)))))</f>
        <v/>
      </c>
      <c r="T191" s="33">
        <f>R191-S191</f>
        <v/>
      </c>
      <c r="U191" s="33">
        <f>IF(Y190&lt;=0,0,ROUND(Y190*(1+'Your debts'!$D$9/1200),2))</f>
        <v/>
      </c>
      <c r="V191" s="33">
        <f>IF(U191&lt;=0,0,MIN('Your debts'!$E$9,U191))</f>
        <v/>
      </c>
      <c r="W191" s="33">
        <f>U191-V191</f>
        <v/>
      </c>
      <c r="X191" s="33">
        <f>IF('Your debts'!$F$9="",0,MIN(W191,MAX(0,MAX(0,'Your debts'!$C$19-(G191+L191+Q191+V191+AA191+AF191+AK191+AP191+AU191+AZ191))-(IF(AND('Your debts'!$F$6&lt;&gt;"",'Your debts'!$F$9&lt;&gt;"",'Your debts'!$F$6&lt;'Your debts'!$F$9),H191,0)+IF(AND('Your debts'!$F$7&lt;&gt;"",'Your debts'!$F$9&lt;&gt;"",'Your debts'!$F$7&lt;'Your debts'!$F$9),M191,0)+IF(AND('Your debts'!$F$8&lt;&gt;"",'Your debts'!$F$9&lt;&gt;"",'Your debts'!$F$8&lt;'Your debts'!$F$9),R191,0)+IF(AND('Your debts'!$F$10&lt;&gt;"",'Your debts'!$F$9&lt;&gt;"",'Your debts'!$F$10&lt;'Your debts'!$F$9),AB191,0)+IF(AND('Your debts'!$F$11&lt;&gt;"",'Your debts'!$F$9&lt;&gt;"",'Your debts'!$F$11&lt;'Your debts'!$F$9),AG191,0)+IF(AND('Your debts'!$F$12&lt;&gt;"",'Your debts'!$F$9&lt;&gt;"",'Your debts'!$F$12&lt;'Your debts'!$F$9),AL191,0)+IF(AND('Your debts'!$F$13&lt;&gt;"",'Your debts'!$F$9&lt;&gt;"",'Your debts'!$F$13&lt;'Your debts'!$F$9),AQ191,0)+IF(AND('Your debts'!$F$14&lt;&gt;"",'Your debts'!$F$9&lt;&gt;"",'Your debts'!$F$14&lt;'Your debts'!$F$9),AV191,0)+IF(AND('Your debts'!$F$15&lt;&gt;"",'Your debts'!$F$9&lt;&gt;"",'Your debts'!$F$15&lt;'Your debts'!$F$9),BA191,0)))))</f>
        <v/>
      </c>
      <c r="Y191" s="33">
        <f>W191-X191</f>
        <v/>
      </c>
      <c r="Z191" s="33">
        <f>IF(AD190&lt;=0,0,ROUND(AD190*(1+'Your debts'!$D$10/1200),2))</f>
        <v/>
      </c>
      <c r="AA191" s="33">
        <f>IF(Z191&lt;=0,0,MIN('Your debts'!$E$10,Z191))</f>
        <v/>
      </c>
      <c r="AB191" s="33">
        <f>Z191-AA191</f>
        <v/>
      </c>
      <c r="AC191" s="33">
        <f>IF('Your debts'!$F$10="",0,MIN(AB191,MAX(0,MAX(0,'Your debts'!$C$19-(G191+L191+Q191+V191+AA191+AF191+AK191+AP191+AU191+AZ191))-(IF(AND('Your debts'!$F$6&lt;&gt;"",'Your debts'!$F$10&lt;&gt;"",'Your debts'!$F$6&lt;'Your debts'!$F$10),H191,0)+IF(AND('Your debts'!$F$7&lt;&gt;"",'Your debts'!$F$10&lt;&gt;"",'Your debts'!$F$7&lt;'Your debts'!$F$10),M191,0)+IF(AND('Your debts'!$F$8&lt;&gt;"",'Your debts'!$F$10&lt;&gt;"",'Your debts'!$F$8&lt;'Your debts'!$F$10),R191,0)+IF(AND('Your debts'!$F$9&lt;&gt;"",'Your debts'!$F$10&lt;&gt;"",'Your debts'!$F$9&lt;'Your debts'!$F$10),W191,0)+IF(AND('Your debts'!$F$11&lt;&gt;"",'Your debts'!$F$10&lt;&gt;"",'Your debts'!$F$11&lt;'Your debts'!$F$10),AG191,0)+IF(AND('Your debts'!$F$12&lt;&gt;"",'Your debts'!$F$10&lt;&gt;"",'Your debts'!$F$12&lt;'Your debts'!$F$10),AL191,0)+IF(AND('Your debts'!$F$13&lt;&gt;"",'Your debts'!$F$10&lt;&gt;"",'Your debts'!$F$13&lt;'Your debts'!$F$10),AQ191,0)+IF(AND('Your debts'!$F$14&lt;&gt;"",'Your debts'!$F$10&lt;&gt;"",'Your debts'!$F$14&lt;'Your debts'!$F$10),AV191,0)+IF(AND('Your debts'!$F$15&lt;&gt;"",'Your debts'!$F$10&lt;&gt;"",'Your debts'!$F$15&lt;'Your debts'!$F$10),BA191,0)))))</f>
        <v/>
      </c>
      <c r="AD191" s="33">
        <f>AB191-AC191</f>
        <v/>
      </c>
      <c r="AE191" s="33">
        <f>IF(AI190&lt;=0,0,ROUND(AI190*(1+'Your debts'!$D$11/1200),2))</f>
        <v/>
      </c>
      <c r="AF191" s="33">
        <f>IF(AE191&lt;=0,0,MIN('Your debts'!$E$11,AE191))</f>
        <v/>
      </c>
      <c r="AG191" s="33">
        <f>AE191-AF191</f>
        <v/>
      </c>
      <c r="AH191" s="33">
        <f>IF('Your debts'!$F$11="",0,MIN(AG191,MAX(0,MAX(0,'Your debts'!$C$19-(G191+L191+Q191+V191+AA191+AF191+AK191+AP191+AU191+AZ191))-(IF(AND('Your debts'!$F$6&lt;&gt;"",'Your debts'!$F$11&lt;&gt;"",'Your debts'!$F$6&lt;'Your debts'!$F$11),H191,0)+IF(AND('Your debts'!$F$7&lt;&gt;"",'Your debts'!$F$11&lt;&gt;"",'Your debts'!$F$7&lt;'Your debts'!$F$11),M191,0)+IF(AND('Your debts'!$F$8&lt;&gt;"",'Your debts'!$F$11&lt;&gt;"",'Your debts'!$F$8&lt;'Your debts'!$F$11),R191,0)+IF(AND('Your debts'!$F$9&lt;&gt;"",'Your debts'!$F$11&lt;&gt;"",'Your debts'!$F$9&lt;'Your debts'!$F$11),W191,0)+IF(AND('Your debts'!$F$10&lt;&gt;"",'Your debts'!$F$11&lt;&gt;"",'Your debts'!$F$10&lt;'Your debts'!$F$11),AB191,0)+IF(AND('Your debts'!$F$12&lt;&gt;"",'Your debts'!$F$11&lt;&gt;"",'Your debts'!$F$12&lt;'Your debts'!$F$11),AL191,0)+IF(AND('Your debts'!$F$13&lt;&gt;"",'Your debts'!$F$11&lt;&gt;"",'Your debts'!$F$13&lt;'Your debts'!$F$11),AQ191,0)+IF(AND('Your debts'!$F$14&lt;&gt;"",'Your debts'!$F$11&lt;&gt;"",'Your debts'!$F$14&lt;'Your debts'!$F$11),AV191,0)+IF(AND('Your debts'!$F$15&lt;&gt;"",'Your debts'!$F$11&lt;&gt;"",'Your debts'!$F$15&lt;'Your debts'!$F$11),BA191,0)))))</f>
        <v/>
      </c>
      <c r="AI191" s="33">
        <f>AG191-AH191</f>
        <v/>
      </c>
      <c r="AJ191" s="33">
        <f>IF(AN190&lt;=0,0,ROUND(AN190*(1+'Your debts'!$D$12/1200),2))</f>
        <v/>
      </c>
      <c r="AK191" s="33">
        <f>IF(AJ191&lt;=0,0,MIN('Your debts'!$E$12,AJ191))</f>
        <v/>
      </c>
      <c r="AL191" s="33">
        <f>AJ191-AK191</f>
        <v/>
      </c>
      <c r="AM191" s="33">
        <f>IF('Your debts'!$F$12="",0,MIN(AL191,MAX(0,MAX(0,'Your debts'!$C$19-(G191+L191+Q191+V191+AA191+AF191+AK191+AP191+AU191+AZ191))-(IF(AND('Your debts'!$F$6&lt;&gt;"",'Your debts'!$F$12&lt;&gt;"",'Your debts'!$F$6&lt;'Your debts'!$F$12),H191,0)+IF(AND('Your debts'!$F$7&lt;&gt;"",'Your debts'!$F$12&lt;&gt;"",'Your debts'!$F$7&lt;'Your debts'!$F$12),M191,0)+IF(AND('Your debts'!$F$8&lt;&gt;"",'Your debts'!$F$12&lt;&gt;"",'Your debts'!$F$8&lt;'Your debts'!$F$12),R191,0)+IF(AND('Your debts'!$F$9&lt;&gt;"",'Your debts'!$F$12&lt;&gt;"",'Your debts'!$F$9&lt;'Your debts'!$F$12),W191,0)+IF(AND('Your debts'!$F$10&lt;&gt;"",'Your debts'!$F$12&lt;&gt;"",'Your debts'!$F$10&lt;'Your debts'!$F$12),AB191,0)+IF(AND('Your debts'!$F$11&lt;&gt;"",'Your debts'!$F$12&lt;&gt;"",'Your debts'!$F$11&lt;'Your debts'!$F$12),AG191,0)+IF(AND('Your debts'!$F$13&lt;&gt;"",'Your debts'!$F$12&lt;&gt;"",'Your debts'!$F$13&lt;'Your debts'!$F$12),AQ191,0)+IF(AND('Your debts'!$F$14&lt;&gt;"",'Your debts'!$F$12&lt;&gt;"",'Your debts'!$F$14&lt;'Your debts'!$F$12),AV191,0)+IF(AND('Your debts'!$F$15&lt;&gt;"",'Your debts'!$F$12&lt;&gt;"",'Your debts'!$F$15&lt;'Your debts'!$F$12),BA191,0)))))</f>
        <v/>
      </c>
      <c r="AN191" s="33">
        <f>AL191-AM191</f>
        <v/>
      </c>
      <c r="AO191" s="33">
        <f>IF(AS190&lt;=0,0,ROUND(AS190*(1+'Your debts'!$D$13/1200),2))</f>
        <v/>
      </c>
      <c r="AP191" s="33">
        <f>IF(AO191&lt;=0,0,MIN('Your debts'!$E$13,AO191))</f>
        <v/>
      </c>
      <c r="AQ191" s="33">
        <f>AO191-AP191</f>
        <v/>
      </c>
      <c r="AR191" s="33">
        <f>IF('Your debts'!$F$13="",0,MIN(AQ191,MAX(0,MAX(0,'Your debts'!$C$19-(G191+L191+Q191+V191+AA191+AF191+AK191+AP191+AU191+AZ191))-(IF(AND('Your debts'!$F$6&lt;&gt;"",'Your debts'!$F$13&lt;&gt;"",'Your debts'!$F$6&lt;'Your debts'!$F$13),H191,0)+IF(AND('Your debts'!$F$7&lt;&gt;"",'Your debts'!$F$13&lt;&gt;"",'Your debts'!$F$7&lt;'Your debts'!$F$13),M191,0)+IF(AND('Your debts'!$F$8&lt;&gt;"",'Your debts'!$F$13&lt;&gt;"",'Your debts'!$F$8&lt;'Your debts'!$F$13),R191,0)+IF(AND('Your debts'!$F$9&lt;&gt;"",'Your debts'!$F$13&lt;&gt;"",'Your debts'!$F$9&lt;'Your debts'!$F$13),W191,0)+IF(AND('Your debts'!$F$10&lt;&gt;"",'Your debts'!$F$13&lt;&gt;"",'Your debts'!$F$10&lt;'Your debts'!$F$13),AB191,0)+IF(AND('Your debts'!$F$11&lt;&gt;"",'Your debts'!$F$13&lt;&gt;"",'Your debts'!$F$11&lt;'Your debts'!$F$13),AG191,0)+IF(AND('Your debts'!$F$12&lt;&gt;"",'Your debts'!$F$13&lt;&gt;"",'Your debts'!$F$12&lt;'Your debts'!$F$13),AL191,0)+IF(AND('Your debts'!$F$14&lt;&gt;"",'Your debts'!$F$13&lt;&gt;"",'Your debts'!$F$14&lt;'Your debts'!$F$13),AV191,0)+IF(AND('Your debts'!$F$15&lt;&gt;"",'Your debts'!$F$13&lt;&gt;"",'Your debts'!$F$15&lt;'Your debts'!$F$13),BA191,0)))))</f>
        <v/>
      </c>
      <c r="AS191" s="33">
        <f>AQ191-AR191</f>
        <v/>
      </c>
      <c r="AT191" s="33">
        <f>IF(AX190&lt;=0,0,ROUND(AX190*(1+'Your debts'!$D$14/1200),2))</f>
        <v/>
      </c>
      <c r="AU191" s="33">
        <f>IF(AT191&lt;=0,0,MIN('Your debts'!$E$14,AT191))</f>
        <v/>
      </c>
      <c r="AV191" s="33">
        <f>AT191-AU191</f>
        <v/>
      </c>
      <c r="AW191" s="33">
        <f>IF('Your debts'!$F$14="",0,MIN(AV191,MAX(0,MAX(0,'Your debts'!$C$19-(G191+L191+Q191+V191+AA191+AF191+AK191+AP191+AU191+AZ191))-(IF(AND('Your debts'!$F$6&lt;&gt;"",'Your debts'!$F$14&lt;&gt;"",'Your debts'!$F$6&lt;'Your debts'!$F$14),H191,0)+IF(AND('Your debts'!$F$7&lt;&gt;"",'Your debts'!$F$14&lt;&gt;"",'Your debts'!$F$7&lt;'Your debts'!$F$14),M191,0)+IF(AND('Your debts'!$F$8&lt;&gt;"",'Your debts'!$F$14&lt;&gt;"",'Your debts'!$F$8&lt;'Your debts'!$F$14),R191,0)+IF(AND('Your debts'!$F$9&lt;&gt;"",'Your debts'!$F$14&lt;&gt;"",'Your debts'!$F$9&lt;'Your debts'!$F$14),W191,0)+IF(AND('Your debts'!$F$10&lt;&gt;"",'Your debts'!$F$14&lt;&gt;"",'Your debts'!$F$10&lt;'Your debts'!$F$14),AB191,0)+IF(AND('Your debts'!$F$11&lt;&gt;"",'Your debts'!$F$14&lt;&gt;"",'Your debts'!$F$11&lt;'Your debts'!$F$14),AG191,0)+IF(AND('Your debts'!$F$12&lt;&gt;"",'Your debts'!$F$14&lt;&gt;"",'Your debts'!$F$12&lt;'Your debts'!$F$14),AL191,0)+IF(AND('Your debts'!$F$13&lt;&gt;"",'Your debts'!$F$14&lt;&gt;"",'Your debts'!$F$13&lt;'Your debts'!$F$14),AQ191,0)+IF(AND('Your debts'!$F$15&lt;&gt;"",'Your debts'!$F$14&lt;&gt;"",'Your debts'!$F$15&lt;'Your debts'!$F$14),BA191,0)))))</f>
        <v/>
      </c>
      <c r="AX191" s="33">
        <f>AV191-AW191</f>
        <v/>
      </c>
      <c r="AY191" s="33">
        <f>IF(BC190&lt;=0,0,ROUND(BC190*(1+'Your debts'!$D$15/1200),2))</f>
        <v/>
      </c>
      <c r="AZ191" s="33">
        <f>IF(AY191&lt;=0,0,MIN('Your debts'!$E$15,AY191))</f>
        <v/>
      </c>
      <c r="BA191" s="33">
        <f>AY191-AZ191</f>
        <v/>
      </c>
      <c r="BB191" s="33">
        <f>IF('Your debts'!$F$15="",0,MIN(BA191,MAX(0,MAX(0,'Your debts'!$C$19-(G191+L191+Q191+V191+AA191+AF191+AK191+AP191+AU191+AZ191))-(IF(AND('Your debts'!$F$6&lt;&gt;"",'Your debts'!$F$15&lt;&gt;"",'Your debts'!$F$6&lt;'Your debts'!$F$15),H191,0)+IF(AND('Your debts'!$F$7&lt;&gt;"",'Your debts'!$F$15&lt;&gt;"",'Your debts'!$F$7&lt;'Your debts'!$F$15),M191,0)+IF(AND('Your debts'!$F$8&lt;&gt;"",'Your debts'!$F$15&lt;&gt;"",'Your debts'!$F$8&lt;'Your debts'!$F$15),R191,0)+IF(AND('Your debts'!$F$9&lt;&gt;"",'Your debts'!$F$15&lt;&gt;"",'Your debts'!$F$9&lt;'Your debts'!$F$15),W191,0)+IF(AND('Your debts'!$F$10&lt;&gt;"",'Your debts'!$F$15&lt;&gt;"",'Your debts'!$F$10&lt;'Your debts'!$F$15),AB191,0)+IF(AND('Your debts'!$F$11&lt;&gt;"",'Your debts'!$F$15&lt;&gt;"",'Your debts'!$F$11&lt;'Your debts'!$F$15),AG191,0)+IF(AND('Your debts'!$F$12&lt;&gt;"",'Your debts'!$F$15&lt;&gt;"",'Your debts'!$F$12&lt;'Your debts'!$F$15),AL191,0)+IF(AND('Your debts'!$F$13&lt;&gt;"",'Your debts'!$F$15&lt;&gt;"",'Your debts'!$F$13&lt;'Your debts'!$F$15),AQ191,0)+IF(AND('Your debts'!$F$14&lt;&gt;"",'Your debts'!$F$15&lt;&gt;"",'Your debts'!$F$14&lt;'Your debts'!$F$15),AV191,0)))))</f>
        <v/>
      </c>
      <c r="BC191" s="33">
        <f>BA191-BB191</f>
        <v/>
      </c>
    </row>
    <row r="192">
      <c r="A192" s="30" t="n">
        <v>177</v>
      </c>
      <c r="B192" s="31">
        <f>EDATE($B$15,177)</f>
        <v/>
      </c>
      <c r="C192" s="32">
        <f>IF(J191&lt;=0,0,F192-J191)+IF(O191&lt;=0,0,K192-O191)+IF(T191&lt;=0,0,P192-T191)+IF(Y191&lt;=0,0,U192-Y191)+IF(AD191&lt;=0,0,Z192-AD191)+IF(AI191&lt;=0,0,AE192-AI191)+IF(AN191&lt;=0,0,AJ192-AN191)+IF(AS191&lt;=0,0,AO192-AS191)+IF(AX191&lt;=0,0,AT192-AX191)+IF(BC191&lt;=0,0,AY192-BC191)</f>
        <v/>
      </c>
      <c r="D192" s="32">
        <f>G192+I192+L192+N192+Q192+S192+V192+X192+AA192+AC192+AF192+AH192+AK192+AM192+AP192+AR192+AU192+AW192+AZ192+BB192</f>
        <v/>
      </c>
      <c r="E192" s="32">
        <f>J192+O192+T192+Y192+AD192+AI192+AN192+AS192+AX192+BC192</f>
        <v/>
      </c>
      <c r="F192" s="33">
        <f>IF(J191&lt;=0,0,ROUND(J191*(1+'Your debts'!$D$6/1200),2))</f>
        <v/>
      </c>
      <c r="G192" s="33">
        <f>IF(F192&lt;=0,0,MIN('Your debts'!$E$6,F192))</f>
        <v/>
      </c>
      <c r="H192" s="33">
        <f>F192-G192</f>
        <v/>
      </c>
      <c r="I192" s="33">
        <f>IF('Your debts'!$F$6="",0,MIN(H192,MAX(0,MAX(0,'Your debts'!$C$19-(G192+L192+Q192+V192+AA192+AF192+AK192+AP192+AU192+AZ192))-(IF(AND('Your debts'!$F$7&lt;&gt;"",'Your debts'!$F$6&lt;&gt;"",'Your debts'!$F$7&lt;'Your debts'!$F$6),M192,0)+IF(AND('Your debts'!$F$8&lt;&gt;"",'Your debts'!$F$6&lt;&gt;"",'Your debts'!$F$8&lt;'Your debts'!$F$6),R192,0)+IF(AND('Your debts'!$F$9&lt;&gt;"",'Your debts'!$F$6&lt;&gt;"",'Your debts'!$F$9&lt;'Your debts'!$F$6),W192,0)+IF(AND('Your debts'!$F$10&lt;&gt;"",'Your debts'!$F$6&lt;&gt;"",'Your debts'!$F$10&lt;'Your debts'!$F$6),AB192,0)+IF(AND('Your debts'!$F$11&lt;&gt;"",'Your debts'!$F$6&lt;&gt;"",'Your debts'!$F$11&lt;'Your debts'!$F$6),AG192,0)+IF(AND('Your debts'!$F$12&lt;&gt;"",'Your debts'!$F$6&lt;&gt;"",'Your debts'!$F$12&lt;'Your debts'!$F$6),AL192,0)+IF(AND('Your debts'!$F$13&lt;&gt;"",'Your debts'!$F$6&lt;&gt;"",'Your debts'!$F$13&lt;'Your debts'!$F$6),AQ192,0)+IF(AND('Your debts'!$F$14&lt;&gt;"",'Your debts'!$F$6&lt;&gt;"",'Your debts'!$F$14&lt;'Your debts'!$F$6),AV192,0)+IF(AND('Your debts'!$F$15&lt;&gt;"",'Your debts'!$F$6&lt;&gt;"",'Your debts'!$F$15&lt;'Your debts'!$F$6),BA192,0)))))</f>
        <v/>
      </c>
      <c r="J192" s="33">
        <f>H192-I192</f>
        <v/>
      </c>
      <c r="K192" s="33">
        <f>IF(O191&lt;=0,0,ROUND(O191*(1+'Your debts'!$D$7/1200),2))</f>
        <v/>
      </c>
      <c r="L192" s="33">
        <f>IF(K192&lt;=0,0,MIN('Your debts'!$E$7,K192))</f>
        <v/>
      </c>
      <c r="M192" s="33">
        <f>K192-L192</f>
        <v/>
      </c>
      <c r="N192" s="33">
        <f>IF('Your debts'!$F$7="",0,MIN(M192,MAX(0,MAX(0,'Your debts'!$C$19-(G192+L192+Q192+V192+AA192+AF192+AK192+AP192+AU192+AZ192))-(IF(AND('Your debts'!$F$6&lt;&gt;"",'Your debts'!$F$7&lt;&gt;"",'Your debts'!$F$6&lt;'Your debts'!$F$7),H192,0)+IF(AND('Your debts'!$F$8&lt;&gt;"",'Your debts'!$F$7&lt;&gt;"",'Your debts'!$F$8&lt;'Your debts'!$F$7),R192,0)+IF(AND('Your debts'!$F$9&lt;&gt;"",'Your debts'!$F$7&lt;&gt;"",'Your debts'!$F$9&lt;'Your debts'!$F$7),W192,0)+IF(AND('Your debts'!$F$10&lt;&gt;"",'Your debts'!$F$7&lt;&gt;"",'Your debts'!$F$10&lt;'Your debts'!$F$7),AB192,0)+IF(AND('Your debts'!$F$11&lt;&gt;"",'Your debts'!$F$7&lt;&gt;"",'Your debts'!$F$11&lt;'Your debts'!$F$7),AG192,0)+IF(AND('Your debts'!$F$12&lt;&gt;"",'Your debts'!$F$7&lt;&gt;"",'Your debts'!$F$12&lt;'Your debts'!$F$7),AL192,0)+IF(AND('Your debts'!$F$13&lt;&gt;"",'Your debts'!$F$7&lt;&gt;"",'Your debts'!$F$13&lt;'Your debts'!$F$7),AQ192,0)+IF(AND('Your debts'!$F$14&lt;&gt;"",'Your debts'!$F$7&lt;&gt;"",'Your debts'!$F$14&lt;'Your debts'!$F$7),AV192,0)+IF(AND('Your debts'!$F$15&lt;&gt;"",'Your debts'!$F$7&lt;&gt;"",'Your debts'!$F$15&lt;'Your debts'!$F$7),BA192,0)))))</f>
        <v/>
      </c>
      <c r="O192" s="33">
        <f>M192-N192</f>
        <v/>
      </c>
      <c r="P192" s="33">
        <f>IF(T191&lt;=0,0,ROUND(T191*(1+'Your debts'!$D$8/1200),2))</f>
        <v/>
      </c>
      <c r="Q192" s="33">
        <f>IF(P192&lt;=0,0,MIN('Your debts'!$E$8,P192))</f>
        <v/>
      </c>
      <c r="R192" s="33">
        <f>P192-Q192</f>
        <v/>
      </c>
      <c r="S192" s="33">
        <f>IF('Your debts'!$F$8="",0,MIN(R192,MAX(0,MAX(0,'Your debts'!$C$19-(G192+L192+Q192+V192+AA192+AF192+AK192+AP192+AU192+AZ192))-(IF(AND('Your debts'!$F$6&lt;&gt;"",'Your debts'!$F$8&lt;&gt;"",'Your debts'!$F$6&lt;'Your debts'!$F$8),H192,0)+IF(AND('Your debts'!$F$7&lt;&gt;"",'Your debts'!$F$8&lt;&gt;"",'Your debts'!$F$7&lt;'Your debts'!$F$8),M192,0)+IF(AND('Your debts'!$F$9&lt;&gt;"",'Your debts'!$F$8&lt;&gt;"",'Your debts'!$F$9&lt;'Your debts'!$F$8),W192,0)+IF(AND('Your debts'!$F$10&lt;&gt;"",'Your debts'!$F$8&lt;&gt;"",'Your debts'!$F$10&lt;'Your debts'!$F$8),AB192,0)+IF(AND('Your debts'!$F$11&lt;&gt;"",'Your debts'!$F$8&lt;&gt;"",'Your debts'!$F$11&lt;'Your debts'!$F$8),AG192,0)+IF(AND('Your debts'!$F$12&lt;&gt;"",'Your debts'!$F$8&lt;&gt;"",'Your debts'!$F$12&lt;'Your debts'!$F$8),AL192,0)+IF(AND('Your debts'!$F$13&lt;&gt;"",'Your debts'!$F$8&lt;&gt;"",'Your debts'!$F$13&lt;'Your debts'!$F$8),AQ192,0)+IF(AND('Your debts'!$F$14&lt;&gt;"",'Your debts'!$F$8&lt;&gt;"",'Your debts'!$F$14&lt;'Your debts'!$F$8),AV192,0)+IF(AND('Your debts'!$F$15&lt;&gt;"",'Your debts'!$F$8&lt;&gt;"",'Your debts'!$F$15&lt;'Your debts'!$F$8),BA192,0)))))</f>
        <v/>
      </c>
      <c r="T192" s="33">
        <f>R192-S192</f>
        <v/>
      </c>
      <c r="U192" s="33">
        <f>IF(Y191&lt;=0,0,ROUND(Y191*(1+'Your debts'!$D$9/1200),2))</f>
        <v/>
      </c>
      <c r="V192" s="33">
        <f>IF(U192&lt;=0,0,MIN('Your debts'!$E$9,U192))</f>
        <v/>
      </c>
      <c r="W192" s="33">
        <f>U192-V192</f>
        <v/>
      </c>
      <c r="X192" s="33">
        <f>IF('Your debts'!$F$9="",0,MIN(W192,MAX(0,MAX(0,'Your debts'!$C$19-(G192+L192+Q192+V192+AA192+AF192+AK192+AP192+AU192+AZ192))-(IF(AND('Your debts'!$F$6&lt;&gt;"",'Your debts'!$F$9&lt;&gt;"",'Your debts'!$F$6&lt;'Your debts'!$F$9),H192,0)+IF(AND('Your debts'!$F$7&lt;&gt;"",'Your debts'!$F$9&lt;&gt;"",'Your debts'!$F$7&lt;'Your debts'!$F$9),M192,0)+IF(AND('Your debts'!$F$8&lt;&gt;"",'Your debts'!$F$9&lt;&gt;"",'Your debts'!$F$8&lt;'Your debts'!$F$9),R192,0)+IF(AND('Your debts'!$F$10&lt;&gt;"",'Your debts'!$F$9&lt;&gt;"",'Your debts'!$F$10&lt;'Your debts'!$F$9),AB192,0)+IF(AND('Your debts'!$F$11&lt;&gt;"",'Your debts'!$F$9&lt;&gt;"",'Your debts'!$F$11&lt;'Your debts'!$F$9),AG192,0)+IF(AND('Your debts'!$F$12&lt;&gt;"",'Your debts'!$F$9&lt;&gt;"",'Your debts'!$F$12&lt;'Your debts'!$F$9),AL192,0)+IF(AND('Your debts'!$F$13&lt;&gt;"",'Your debts'!$F$9&lt;&gt;"",'Your debts'!$F$13&lt;'Your debts'!$F$9),AQ192,0)+IF(AND('Your debts'!$F$14&lt;&gt;"",'Your debts'!$F$9&lt;&gt;"",'Your debts'!$F$14&lt;'Your debts'!$F$9),AV192,0)+IF(AND('Your debts'!$F$15&lt;&gt;"",'Your debts'!$F$9&lt;&gt;"",'Your debts'!$F$15&lt;'Your debts'!$F$9),BA192,0)))))</f>
        <v/>
      </c>
      <c r="Y192" s="33">
        <f>W192-X192</f>
        <v/>
      </c>
      <c r="Z192" s="33">
        <f>IF(AD191&lt;=0,0,ROUND(AD191*(1+'Your debts'!$D$10/1200),2))</f>
        <v/>
      </c>
      <c r="AA192" s="33">
        <f>IF(Z192&lt;=0,0,MIN('Your debts'!$E$10,Z192))</f>
        <v/>
      </c>
      <c r="AB192" s="33">
        <f>Z192-AA192</f>
        <v/>
      </c>
      <c r="AC192" s="33">
        <f>IF('Your debts'!$F$10="",0,MIN(AB192,MAX(0,MAX(0,'Your debts'!$C$19-(G192+L192+Q192+V192+AA192+AF192+AK192+AP192+AU192+AZ192))-(IF(AND('Your debts'!$F$6&lt;&gt;"",'Your debts'!$F$10&lt;&gt;"",'Your debts'!$F$6&lt;'Your debts'!$F$10),H192,0)+IF(AND('Your debts'!$F$7&lt;&gt;"",'Your debts'!$F$10&lt;&gt;"",'Your debts'!$F$7&lt;'Your debts'!$F$10),M192,0)+IF(AND('Your debts'!$F$8&lt;&gt;"",'Your debts'!$F$10&lt;&gt;"",'Your debts'!$F$8&lt;'Your debts'!$F$10),R192,0)+IF(AND('Your debts'!$F$9&lt;&gt;"",'Your debts'!$F$10&lt;&gt;"",'Your debts'!$F$9&lt;'Your debts'!$F$10),W192,0)+IF(AND('Your debts'!$F$11&lt;&gt;"",'Your debts'!$F$10&lt;&gt;"",'Your debts'!$F$11&lt;'Your debts'!$F$10),AG192,0)+IF(AND('Your debts'!$F$12&lt;&gt;"",'Your debts'!$F$10&lt;&gt;"",'Your debts'!$F$12&lt;'Your debts'!$F$10),AL192,0)+IF(AND('Your debts'!$F$13&lt;&gt;"",'Your debts'!$F$10&lt;&gt;"",'Your debts'!$F$13&lt;'Your debts'!$F$10),AQ192,0)+IF(AND('Your debts'!$F$14&lt;&gt;"",'Your debts'!$F$10&lt;&gt;"",'Your debts'!$F$14&lt;'Your debts'!$F$10),AV192,0)+IF(AND('Your debts'!$F$15&lt;&gt;"",'Your debts'!$F$10&lt;&gt;"",'Your debts'!$F$15&lt;'Your debts'!$F$10),BA192,0)))))</f>
        <v/>
      </c>
      <c r="AD192" s="33">
        <f>AB192-AC192</f>
        <v/>
      </c>
      <c r="AE192" s="33">
        <f>IF(AI191&lt;=0,0,ROUND(AI191*(1+'Your debts'!$D$11/1200),2))</f>
        <v/>
      </c>
      <c r="AF192" s="33">
        <f>IF(AE192&lt;=0,0,MIN('Your debts'!$E$11,AE192))</f>
        <v/>
      </c>
      <c r="AG192" s="33">
        <f>AE192-AF192</f>
        <v/>
      </c>
      <c r="AH192" s="33">
        <f>IF('Your debts'!$F$11="",0,MIN(AG192,MAX(0,MAX(0,'Your debts'!$C$19-(G192+L192+Q192+V192+AA192+AF192+AK192+AP192+AU192+AZ192))-(IF(AND('Your debts'!$F$6&lt;&gt;"",'Your debts'!$F$11&lt;&gt;"",'Your debts'!$F$6&lt;'Your debts'!$F$11),H192,0)+IF(AND('Your debts'!$F$7&lt;&gt;"",'Your debts'!$F$11&lt;&gt;"",'Your debts'!$F$7&lt;'Your debts'!$F$11),M192,0)+IF(AND('Your debts'!$F$8&lt;&gt;"",'Your debts'!$F$11&lt;&gt;"",'Your debts'!$F$8&lt;'Your debts'!$F$11),R192,0)+IF(AND('Your debts'!$F$9&lt;&gt;"",'Your debts'!$F$11&lt;&gt;"",'Your debts'!$F$9&lt;'Your debts'!$F$11),W192,0)+IF(AND('Your debts'!$F$10&lt;&gt;"",'Your debts'!$F$11&lt;&gt;"",'Your debts'!$F$10&lt;'Your debts'!$F$11),AB192,0)+IF(AND('Your debts'!$F$12&lt;&gt;"",'Your debts'!$F$11&lt;&gt;"",'Your debts'!$F$12&lt;'Your debts'!$F$11),AL192,0)+IF(AND('Your debts'!$F$13&lt;&gt;"",'Your debts'!$F$11&lt;&gt;"",'Your debts'!$F$13&lt;'Your debts'!$F$11),AQ192,0)+IF(AND('Your debts'!$F$14&lt;&gt;"",'Your debts'!$F$11&lt;&gt;"",'Your debts'!$F$14&lt;'Your debts'!$F$11),AV192,0)+IF(AND('Your debts'!$F$15&lt;&gt;"",'Your debts'!$F$11&lt;&gt;"",'Your debts'!$F$15&lt;'Your debts'!$F$11),BA192,0)))))</f>
        <v/>
      </c>
      <c r="AI192" s="33">
        <f>AG192-AH192</f>
        <v/>
      </c>
      <c r="AJ192" s="33">
        <f>IF(AN191&lt;=0,0,ROUND(AN191*(1+'Your debts'!$D$12/1200),2))</f>
        <v/>
      </c>
      <c r="AK192" s="33">
        <f>IF(AJ192&lt;=0,0,MIN('Your debts'!$E$12,AJ192))</f>
        <v/>
      </c>
      <c r="AL192" s="33">
        <f>AJ192-AK192</f>
        <v/>
      </c>
      <c r="AM192" s="33">
        <f>IF('Your debts'!$F$12="",0,MIN(AL192,MAX(0,MAX(0,'Your debts'!$C$19-(G192+L192+Q192+V192+AA192+AF192+AK192+AP192+AU192+AZ192))-(IF(AND('Your debts'!$F$6&lt;&gt;"",'Your debts'!$F$12&lt;&gt;"",'Your debts'!$F$6&lt;'Your debts'!$F$12),H192,0)+IF(AND('Your debts'!$F$7&lt;&gt;"",'Your debts'!$F$12&lt;&gt;"",'Your debts'!$F$7&lt;'Your debts'!$F$12),M192,0)+IF(AND('Your debts'!$F$8&lt;&gt;"",'Your debts'!$F$12&lt;&gt;"",'Your debts'!$F$8&lt;'Your debts'!$F$12),R192,0)+IF(AND('Your debts'!$F$9&lt;&gt;"",'Your debts'!$F$12&lt;&gt;"",'Your debts'!$F$9&lt;'Your debts'!$F$12),W192,0)+IF(AND('Your debts'!$F$10&lt;&gt;"",'Your debts'!$F$12&lt;&gt;"",'Your debts'!$F$10&lt;'Your debts'!$F$12),AB192,0)+IF(AND('Your debts'!$F$11&lt;&gt;"",'Your debts'!$F$12&lt;&gt;"",'Your debts'!$F$11&lt;'Your debts'!$F$12),AG192,0)+IF(AND('Your debts'!$F$13&lt;&gt;"",'Your debts'!$F$12&lt;&gt;"",'Your debts'!$F$13&lt;'Your debts'!$F$12),AQ192,0)+IF(AND('Your debts'!$F$14&lt;&gt;"",'Your debts'!$F$12&lt;&gt;"",'Your debts'!$F$14&lt;'Your debts'!$F$12),AV192,0)+IF(AND('Your debts'!$F$15&lt;&gt;"",'Your debts'!$F$12&lt;&gt;"",'Your debts'!$F$15&lt;'Your debts'!$F$12),BA192,0)))))</f>
        <v/>
      </c>
      <c r="AN192" s="33">
        <f>AL192-AM192</f>
        <v/>
      </c>
      <c r="AO192" s="33">
        <f>IF(AS191&lt;=0,0,ROUND(AS191*(1+'Your debts'!$D$13/1200),2))</f>
        <v/>
      </c>
      <c r="AP192" s="33">
        <f>IF(AO192&lt;=0,0,MIN('Your debts'!$E$13,AO192))</f>
        <v/>
      </c>
      <c r="AQ192" s="33">
        <f>AO192-AP192</f>
        <v/>
      </c>
      <c r="AR192" s="33">
        <f>IF('Your debts'!$F$13="",0,MIN(AQ192,MAX(0,MAX(0,'Your debts'!$C$19-(G192+L192+Q192+V192+AA192+AF192+AK192+AP192+AU192+AZ192))-(IF(AND('Your debts'!$F$6&lt;&gt;"",'Your debts'!$F$13&lt;&gt;"",'Your debts'!$F$6&lt;'Your debts'!$F$13),H192,0)+IF(AND('Your debts'!$F$7&lt;&gt;"",'Your debts'!$F$13&lt;&gt;"",'Your debts'!$F$7&lt;'Your debts'!$F$13),M192,0)+IF(AND('Your debts'!$F$8&lt;&gt;"",'Your debts'!$F$13&lt;&gt;"",'Your debts'!$F$8&lt;'Your debts'!$F$13),R192,0)+IF(AND('Your debts'!$F$9&lt;&gt;"",'Your debts'!$F$13&lt;&gt;"",'Your debts'!$F$9&lt;'Your debts'!$F$13),W192,0)+IF(AND('Your debts'!$F$10&lt;&gt;"",'Your debts'!$F$13&lt;&gt;"",'Your debts'!$F$10&lt;'Your debts'!$F$13),AB192,0)+IF(AND('Your debts'!$F$11&lt;&gt;"",'Your debts'!$F$13&lt;&gt;"",'Your debts'!$F$11&lt;'Your debts'!$F$13),AG192,0)+IF(AND('Your debts'!$F$12&lt;&gt;"",'Your debts'!$F$13&lt;&gt;"",'Your debts'!$F$12&lt;'Your debts'!$F$13),AL192,0)+IF(AND('Your debts'!$F$14&lt;&gt;"",'Your debts'!$F$13&lt;&gt;"",'Your debts'!$F$14&lt;'Your debts'!$F$13),AV192,0)+IF(AND('Your debts'!$F$15&lt;&gt;"",'Your debts'!$F$13&lt;&gt;"",'Your debts'!$F$15&lt;'Your debts'!$F$13),BA192,0)))))</f>
        <v/>
      </c>
      <c r="AS192" s="33">
        <f>AQ192-AR192</f>
        <v/>
      </c>
      <c r="AT192" s="33">
        <f>IF(AX191&lt;=0,0,ROUND(AX191*(1+'Your debts'!$D$14/1200),2))</f>
        <v/>
      </c>
      <c r="AU192" s="33">
        <f>IF(AT192&lt;=0,0,MIN('Your debts'!$E$14,AT192))</f>
        <v/>
      </c>
      <c r="AV192" s="33">
        <f>AT192-AU192</f>
        <v/>
      </c>
      <c r="AW192" s="33">
        <f>IF('Your debts'!$F$14="",0,MIN(AV192,MAX(0,MAX(0,'Your debts'!$C$19-(G192+L192+Q192+V192+AA192+AF192+AK192+AP192+AU192+AZ192))-(IF(AND('Your debts'!$F$6&lt;&gt;"",'Your debts'!$F$14&lt;&gt;"",'Your debts'!$F$6&lt;'Your debts'!$F$14),H192,0)+IF(AND('Your debts'!$F$7&lt;&gt;"",'Your debts'!$F$14&lt;&gt;"",'Your debts'!$F$7&lt;'Your debts'!$F$14),M192,0)+IF(AND('Your debts'!$F$8&lt;&gt;"",'Your debts'!$F$14&lt;&gt;"",'Your debts'!$F$8&lt;'Your debts'!$F$14),R192,0)+IF(AND('Your debts'!$F$9&lt;&gt;"",'Your debts'!$F$14&lt;&gt;"",'Your debts'!$F$9&lt;'Your debts'!$F$14),W192,0)+IF(AND('Your debts'!$F$10&lt;&gt;"",'Your debts'!$F$14&lt;&gt;"",'Your debts'!$F$10&lt;'Your debts'!$F$14),AB192,0)+IF(AND('Your debts'!$F$11&lt;&gt;"",'Your debts'!$F$14&lt;&gt;"",'Your debts'!$F$11&lt;'Your debts'!$F$14),AG192,0)+IF(AND('Your debts'!$F$12&lt;&gt;"",'Your debts'!$F$14&lt;&gt;"",'Your debts'!$F$12&lt;'Your debts'!$F$14),AL192,0)+IF(AND('Your debts'!$F$13&lt;&gt;"",'Your debts'!$F$14&lt;&gt;"",'Your debts'!$F$13&lt;'Your debts'!$F$14),AQ192,0)+IF(AND('Your debts'!$F$15&lt;&gt;"",'Your debts'!$F$14&lt;&gt;"",'Your debts'!$F$15&lt;'Your debts'!$F$14),BA192,0)))))</f>
        <v/>
      </c>
      <c r="AX192" s="33">
        <f>AV192-AW192</f>
        <v/>
      </c>
      <c r="AY192" s="33">
        <f>IF(BC191&lt;=0,0,ROUND(BC191*(1+'Your debts'!$D$15/1200),2))</f>
        <v/>
      </c>
      <c r="AZ192" s="33">
        <f>IF(AY192&lt;=0,0,MIN('Your debts'!$E$15,AY192))</f>
        <v/>
      </c>
      <c r="BA192" s="33">
        <f>AY192-AZ192</f>
        <v/>
      </c>
      <c r="BB192" s="33">
        <f>IF('Your debts'!$F$15="",0,MIN(BA192,MAX(0,MAX(0,'Your debts'!$C$19-(G192+L192+Q192+V192+AA192+AF192+AK192+AP192+AU192+AZ192))-(IF(AND('Your debts'!$F$6&lt;&gt;"",'Your debts'!$F$15&lt;&gt;"",'Your debts'!$F$6&lt;'Your debts'!$F$15),H192,0)+IF(AND('Your debts'!$F$7&lt;&gt;"",'Your debts'!$F$15&lt;&gt;"",'Your debts'!$F$7&lt;'Your debts'!$F$15),M192,0)+IF(AND('Your debts'!$F$8&lt;&gt;"",'Your debts'!$F$15&lt;&gt;"",'Your debts'!$F$8&lt;'Your debts'!$F$15),R192,0)+IF(AND('Your debts'!$F$9&lt;&gt;"",'Your debts'!$F$15&lt;&gt;"",'Your debts'!$F$9&lt;'Your debts'!$F$15),W192,0)+IF(AND('Your debts'!$F$10&lt;&gt;"",'Your debts'!$F$15&lt;&gt;"",'Your debts'!$F$10&lt;'Your debts'!$F$15),AB192,0)+IF(AND('Your debts'!$F$11&lt;&gt;"",'Your debts'!$F$15&lt;&gt;"",'Your debts'!$F$11&lt;'Your debts'!$F$15),AG192,0)+IF(AND('Your debts'!$F$12&lt;&gt;"",'Your debts'!$F$15&lt;&gt;"",'Your debts'!$F$12&lt;'Your debts'!$F$15),AL192,0)+IF(AND('Your debts'!$F$13&lt;&gt;"",'Your debts'!$F$15&lt;&gt;"",'Your debts'!$F$13&lt;'Your debts'!$F$15),AQ192,0)+IF(AND('Your debts'!$F$14&lt;&gt;"",'Your debts'!$F$15&lt;&gt;"",'Your debts'!$F$14&lt;'Your debts'!$F$15),AV192,0)))))</f>
        <v/>
      </c>
      <c r="BC192" s="33">
        <f>BA192-BB192</f>
        <v/>
      </c>
    </row>
    <row r="193">
      <c r="A193" s="30" t="n">
        <v>178</v>
      </c>
      <c r="B193" s="31">
        <f>EDATE($B$15,178)</f>
        <v/>
      </c>
      <c r="C193" s="32">
        <f>IF(J192&lt;=0,0,F193-J192)+IF(O192&lt;=0,0,K193-O192)+IF(T192&lt;=0,0,P193-T192)+IF(Y192&lt;=0,0,U193-Y192)+IF(AD192&lt;=0,0,Z193-AD192)+IF(AI192&lt;=0,0,AE193-AI192)+IF(AN192&lt;=0,0,AJ193-AN192)+IF(AS192&lt;=0,0,AO193-AS192)+IF(AX192&lt;=0,0,AT193-AX192)+IF(BC192&lt;=0,0,AY193-BC192)</f>
        <v/>
      </c>
      <c r="D193" s="32">
        <f>G193+I193+L193+N193+Q193+S193+V193+X193+AA193+AC193+AF193+AH193+AK193+AM193+AP193+AR193+AU193+AW193+AZ193+BB193</f>
        <v/>
      </c>
      <c r="E193" s="32">
        <f>J193+O193+T193+Y193+AD193+AI193+AN193+AS193+AX193+BC193</f>
        <v/>
      </c>
      <c r="F193" s="33">
        <f>IF(J192&lt;=0,0,ROUND(J192*(1+'Your debts'!$D$6/1200),2))</f>
        <v/>
      </c>
      <c r="G193" s="33">
        <f>IF(F193&lt;=0,0,MIN('Your debts'!$E$6,F193))</f>
        <v/>
      </c>
      <c r="H193" s="33">
        <f>F193-G193</f>
        <v/>
      </c>
      <c r="I193" s="33">
        <f>IF('Your debts'!$F$6="",0,MIN(H193,MAX(0,MAX(0,'Your debts'!$C$19-(G193+L193+Q193+V193+AA193+AF193+AK193+AP193+AU193+AZ193))-(IF(AND('Your debts'!$F$7&lt;&gt;"",'Your debts'!$F$6&lt;&gt;"",'Your debts'!$F$7&lt;'Your debts'!$F$6),M193,0)+IF(AND('Your debts'!$F$8&lt;&gt;"",'Your debts'!$F$6&lt;&gt;"",'Your debts'!$F$8&lt;'Your debts'!$F$6),R193,0)+IF(AND('Your debts'!$F$9&lt;&gt;"",'Your debts'!$F$6&lt;&gt;"",'Your debts'!$F$9&lt;'Your debts'!$F$6),W193,0)+IF(AND('Your debts'!$F$10&lt;&gt;"",'Your debts'!$F$6&lt;&gt;"",'Your debts'!$F$10&lt;'Your debts'!$F$6),AB193,0)+IF(AND('Your debts'!$F$11&lt;&gt;"",'Your debts'!$F$6&lt;&gt;"",'Your debts'!$F$11&lt;'Your debts'!$F$6),AG193,0)+IF(AND('Your debts'!$F$12&lt;&gt;"",'Your debts'!$F$6&lt;&gt;"",'Your debts'!$F$12&lt;'Your debts'!$F$6),AL193,0)+IF(AND('Your debts'!$F$13&lt;&gt;"",'Your debts'!$F$6&lt;&gt;"",'Your debts'!$F$13&lt;'Your debts'!$F$6),AQ193,0)+IF(AND('Your debts'!$F$14&lt;&gt;"",'Your debts'!$F$6&lt;&gt;"",'Your debts'!$F$14&lt;'Your debts'!$F$6),AV193,0)+IF(AND('Your debts'!$F$15&lt;&gt;"",'Your debts'!$F$6&lt;&gt;"",'Your debts'!$F$15&lt;'Your debts'!$F$6),BA193,0)))))</f>
        <v/>
      </c>
      <c r="J193" s="33">
        <f>H193-I193</f>
        <v/>
      </c>
      <c r="K193" s="33">
        <f>IF(O192&lt;=0,0,ROUND(O192*(1+'Your debts'!$D$7/1200),2))</f>
        <v/>
      </c>
      <c r="L193" s="33">
        <f>IF(K193&lt;=0,0,MIN('Your debts'!$E$7,K193))</f>
        <v/>
      </c>
      <c r="M193" s="33">
        <f>K193-L193</f>
        <v/>
      </c>
      <c r="N193" s="33">
        <f>IF('Your debts'!$F$7="",0,MIN(M193,MAX(0,MAX(0,'Your debts'!$C$19-(G193+L193+Q193+V193+AA193+AF193+AK193+AP193+AU193+AZ193))-(IF(AND('Your debts'!$F$6&lt;&gt;"",'Your debts'!$F$7&lt;&gt;"",'Your debts'!$F$6&lt;'Your debts'!$F$7),H193,0)+IF(AND('Your debts'!$F$8&lt;&gt;"",'Your debts'!$F$7&lt;&gt;"",'Your debts'!$F$8&lt;'Your debts'!$F$7),R193,0)+IF(AND('Your debts'!$F$9&lt;&gt;"",'Your debts'!$F$7&lt;&gt;"",'Your debts'!$F$9&lt;'Your debts'!$F$7),W193,0)+IF(AND('Your debts'!$F$10&lt;&gt;"",'Your debts'!$F$7&lt;&gt;"",'Your debts'!$F$10&lt;'Your debts'!$F$7),AB193,0)+IF(AND('Your debts'!$F$11&lt;&gt;"",'Your debts'!$F$7&lt;&gt;"",'Your debts'!$F$11&lt;'Your debts'!$F$7),AG193,0)+IF(AND('Your debts'!$F$12&lt;&gt;"",'Your debts'!$F$7&lt;&gt;"",'Your debts'!$F$12&lt;'Your debts'!$F$7),AL193,0)+IF(AND('Your debts'!$F$13&lt;&gt;"",'Your debts'!$F$7&lt;&gt;"",'Your debts'!$F$13&lt;'Your debts'!$F$7),AQ193,0)+IF(AND('Your debts'!$F$14&lt;&gt;"",'Your debts'!$F$7&lt;&gt;"",'Your debts'!$F$14&lt;'Your debts'!$F$7),AV193,0)+IF(AND('Your debts'!$F$15&lt;&gt;"",'Your debts'!$F$7&lt;&gt;"",'Your debts'!$F$15&lt;'Your debts'!$F$7),BA193,0)))))</f>
        <v/>
      </c>
      <c r="O193" s="33">
        <f>M193-N193</f>
        <v/>
      </c>
      <c r="P193" s="33">
        <f>IF(T192&lt;=0,0,ROUND(T192*(1+'Your debts'!$D$8/1200),2))</f>
        <v/>
      </c>
      <c r="Q193" s="33">
        <f>IF(P193&lt;=0,0,MIN('Your debts'!$E$8,P193))</f>
        <v/>
      </c>
      <c r="R193" s="33">
        <f>P193-Q193</f>
        <v/>
      </c>
      <c r="S193" s="33">
        <f>IF('Your debts'!$F$8="",0,MIN(R193,MAX(0,MAX(0,'Your debts'!$C$19-(G193+L193+Q193+V193+AA193+AF193+AK193+AP193+AU193+AZ193))-(IF(AND('Your debts'!$F$6&lt;&gt;"",'Your debts'!$F$8&lt;&gt;"",'Your debts'!$F$6&lt;'Your debts'!$F$8),H193,0)+IF(AND('Your debts'!$F$7&lt;&gt;"",'Your debts'!$F$8&lt;&gt;"",'Your debts'!$F$7&lt;'Your debts'!$F$8),M193,0)+IF(AND('Your debts'!$F$9&lt;&gt;"",'Your debts'!$F$8&lt;&gt;"",'Your debts'!$F$9&lt;'Your debts'!$F$8),W193,0)+IF(AND('Your debts'!$F$10&lt;&gt;"",'Your debts'!$F$8&lt;&gt;"",'Your debts'!$F$10&lt;'Your debts'!$F$8),AB193,0)+IF(AND('Your debts'!$F$11&lt;&gt;"",'Your debts'!$F$8&lt;&gt;"",'Your debts'!$F$11&lt;'Your debts'!$F$8),AG193,0)+IF(AND('Your debts'!$F$12&lt;&gt;"",'Your debts'!$F$8&lt;&gt;"",'Your debts'!$F$12&lt;'Your debts'!$F$8),AL193,0)+IF(AND('Your debts'!$F$13&lt;&gt;"",'Your debts'!$F$8&lt;&gt;"",'Your debts'!$F$13&lt;'Your debts'!$F$8),AQ193,0)+IF(AND('Your debts'!$F$14&lt;&gt;"",'Your debts'!$F$8&lt;&gt;"",'Your debts'!$F$14&lt;'Your debts'!$F$8),AV193,0)+IF(AND('Your debts'!$F$15&lt;&gt;"",'Your debts'!$F$8&lt;&gt;"",'Your debts'!$F$15&lt;'Your debts'!$F$8),BA193,0)))))</f>
        <v/>
      </c>
      <c r="T193" s="33">
        <f>R193-S193</f>
        <v/>
      </c>
      <c r="U193" s="33">
        <f>IF(Y192&lt;=0,0,ROUND(Y192*(1+'Your debts'!$D$9/1200),2))</f>
        <v/>
      </c>
      <c r="V193" s="33">
        <f>IF(U193&lt;=0,0,MIN('Your debts'!$E$9,U193))</f>
        <v/>
      </c>
      <c r="W193" s="33">
        <f>U193-V193</f>
        <v/>
      </c>
      <c r="X193" s="33">
        <f>IF('Your debts'!$F$9="",0,MIN(W193,MAX(0,MAX(0,'Your debts'!$C$19-(G193+L193+Q193+V193+AA193+AF193+AK193+AP193+AU193+AZ193))-(IF(AND('Your debts'!$F$6&lt;&gt;"",'Your debts'!$F$9&lt;&gt;"",'Your debts'!$F$6&lt;'Your debts'!$F$9),H193,0)+IF(AND('Your debts'!$F$7&lt;&gt;"",'Your debts'!$F$9&lt;&gt;"",'Your debts'!$F$7&lt;'Your debts'!$F$9),M193,0)+IF(AND('Your debts'!$F$8&lt;&gt;"",'Your debts'!$F$9&lt;&gt;"",'Your debts'!$F$8&lt;'Your debts'!$F$9),R193,0)+IF(AND('Your debts'!$F$10&lt;&gt;"",'Your debts'!$F$9&lt;&gt;"",'Your debts'!$F$10&lt;'Your debts'!$F$9),AB193,0)+IF(AND('Your debts'!$F$11&lt;&gt;"",'Your debts'!$F$9&lt;&gt;"",'Your debts'!$F$11&lt;'Your debts'!$F$9),AG193,0)+IF(AND('Your debts'!$F$12&lt;&gt;"",'Your debts'!$F$9&lt;&gt;"",'Your debts'!$F$12&lt;'Your debts'!$F$9),AL193,0)+IF(AND('Your debts'!$F$13&lt;&gt;"",'Your debts'!$F$9&lt;&gt;"",'Your debts'!$F$13&lt;'Your debts'!$F$9),AQ193,0)+IF(AND('Your debts'!$F$14&lt;&gt;"",'Your debts'!$F$9&lt;&gt;"",'Your debts'!$F$14&lt;'Your debts'!$F$9),AV193,0)+IF(AND('Your debts'!$F$15&lt;&gt;"",'Your debts'!$F$9&lt;&gt;"",'Your debts'!$F$15&lt;'Your debts'!$F$9),BA193,0)))))</f>
        <v/>
      </c>
      <c r="Y193" s="33">
        <f>W193-X193</f>
        <v/>
      </c>
      <c r="Z193" s="33">
        <f>IF(AD192&lt;=0,0,ROUND(AD192*(1+'Your debts'!$D$10/1200),2))</f>
        <v/>
      </c>
      <c r="AA193" s="33">
        <f>IF(Z193&lt;=0,0,MIN('Your debts'!$E$10,Z193))</f>
        <v/>
      </c>
      <c r="AB193" s="33">
        <f>Z193-AA193</f>
        <v/>
      </c>
      <c r="AC193" s="33">
        <f>IF('Your debts'!$F$10="",0,MIN(AB193,MAX(0,MAX(0,'Your debts'!$C$19-(G193+L193+Q193+V193+AA193+AF193+AK193+AP193+AU193+AZ193))-(IF(AND('Your debts'!$F$6&lt;&gt;"",'Your debts'!$F$10&lt;&gt;"",'Your debts'!$F$6&lt;'Your debts'!$F$10),H193,0)+IF(AND('Your debts'!$F$7&lt;&gt;"",'Your debts'!$F$10&lt;&gt;"",'Your debts'!$F$7&lt;'Your debts'!$F$10),M193,0)+IF(AND('Your debts'!$F$8&lt;&gt;"",'Your debts'!$F$10&lt;&gt;"",'Your debts'!$F$8&lt;'Your debts'!$F$10),R193,0)+IF(AND('Your debts'!$F$9&lt;&gt;"",'Your debts'!$F$10&lt;&gt;"",'Your debts'!$F$9&lt;'Your debts'!$F$10),W193,0)+IF(AND('Your debts'!$F$11&lt;&gt;"",'Your debts'!$F$10&lt;&gt;"",'Your debts'!$F$11&lt;'Your debts'!$F$10),AG193,0)+IF(AND('Your debts'!$F$12&lt;&gt;"",'Your debts'!$F$10&lt;&gt;"",'Your debts'!$F$12&lt;'Your debts'!$F$10),AL193,0)+IF(AND('Your debts'!$F$13&lt;&gt;"",'Your debts'!$F$10&lt;&gt;"",'Your debts'!$F$13&lt;'Your debts'!$F$10),AQ193,0)+IF(AND('Your debts'!$F$14&lt;&gt;"",'Your debts'!$F$10&lt;&gt;"",'Your debts'!$F$14&lt;'Your debts'!$F$10),AV193,0)+IF(AND('Your debts'!$F$15&lt;&gt;"",'Your debts'!$F$10&lt;&gt;"",'Your debts'!$F$15&lt;'Your debts'!$F$10),BA193,0)))))</f>
        <v/>
      </c>
      <c r="AD193" s="33">
        <f>AB193-AC193</f>
        <v/>
      </c>
      <c r="AE193" s="33">
        <f>IF(AI192&lt;=0,0,ROUND(AI192*(1+'Your debts'!$D$11/1200),2))</f>
        <v/>
      </c>
      <c r="AF193" s="33">
        <f>IF(AE193&lt;=0,0,MIN('Your debts'!$E$11,AE193))</f>
        <v/>
      </c>
      <c r="AG193" s="33">
        <f>AE193-AF193</f>
        <v/>
      </c>
      <c r="AH193" s="33">
        <f>IF('Your debts'!$F$11="",0,MIN(AG193,MAX(0,MAX(0,'Your debts'!$C$19-(G193+L193+Q193+V193+AA193+AF193+AK193+AP193+AU193+AZ193))-(IF(AND('Your debts'!$F$6&lt;&gt;"",'Your debts'!$F$11&lt;&gt;"",'Your debts'!$F$6&lt;'Your debts'!$F$11),H193,0)+IF(AND('Your debts'!$F$7&lt;&gt;"",'Your debts'!$F$11&lt;&gt;"",'Your debts'!$F$7&lt;'Your debts'!$F$11),M193,0)+IF(AND('Your debts'!$F$8&lt;&gt;"",'Your debts'!$F$11&lt;&gt;"",'Your debts'!$F$8&lt;'Your debts'!$F$11),R193,0)+IF(AND('Your debts'!$F$9&lt;&gt;"",'Your debts'!$F$11&lt;&gt;"",'Your debts'!$F$9&lt;'Your debts'!$F$11),W193,0)+IF(AND('Your debts'!$F$10&lt;&gt;"",'Your debts'!$F$11&lt;&gt;"",'Your debts'!$F$10&lt;'Your debts'!$F$11),AB193,0)+IF(AND('Your debts'!$F$12&lt;&gt;"",'Your debts'!$F$11&lt;&gt;"",'Your debts'!$F$12&lt;'Your debts'!$F$11),AL193,0)+IF(AND('Your debts'!$F$13&lt;&gt;"",'Your debts'!$F$11&lt;&gt;"",'Your debts'!$F$13&lt;'Your debts'!$F$11),AQ193,0)+IF(AND('Your debts'!$F$14&lt;&gt;"",'Your debts'!$F$11&lt;&gt;"",'Your debts'!$F$14&lt;'Your debts'!$F$11),AV193,0)+IF(AND('Your debts'!$F$15&lt;&gt;"",'Your debts'!$F$11&lt;&gt;"",'Your debts'!$F$15&lt;'Your debts'!$F$11),BA193,0)))))</f>
        <v/>
      </c>
      <c r="AI193" s="33">
        <f>AG193-AH193</f>
        <v/>
      </c>
      <c r="AJ193" s="33">
        <f>IF(AN192&lt;=0,0,ROUND(AN192*(1+'Your debts'!$D$12/1200),2))</f>
        <v/>
      </c>
      <c r="AK193" s="33">
        <f>IF(AJ193&lt;=0,0,MIN('Your debts'!$E$12,AJ193))</f>
        <v/>
      </c>
      <c r="AL193" s="33">
        <f>AJ193-AK193</f>
        <v/>
      </c>
      <c r="AM193" s="33">
        <f>IF('Your debts'!$F$12="",0,MIN(AL193,MAX(0,MAX(0,'Your debts'!$C$19-(G193+L193+Q193+V193+AA193+AF193+AK193+AP193+AU193+AZ193))-(IF(AND('Your debts'!$F$6&lt;&gt;"",'Your debts'!$F$12&lt;&gt;"",'Your debts'!$F$6&lt;'Your debts'!$F$12),H193,0)+IF(AND('Your debts'!$F$7&lt;&gt;"",'Your debts'!$F$12&lt;&gt;"",'Your debts'!$F$7&lt;'Your debts'!$F$12),M193,0)+IF(AND('Your debts'!$F$8&lt;&gt;"",'Your debts'!$F$12&lt;&gt;"",'Your debts'!$F$8&lt;'Your debts'!$F$12),R193,0)+IF(AND('Your debts'!$F$9&lt;&gt;"",'Your debts'!$F$12&lt;&gt;"",'Your debts'!$F$9&lt;'Your debts'!$F$12),W193,0)+IF(AND('Your debts'!$F$10&lt;&gt;"",'Your debts'!$F$12&lt;&gt;"",'Your debts'!$F$10&lt;'Your debts'!$F$12),AB193,0)+IF(AND('Your debts'!$F$11&lt;&gt;"",'Your debts'!$F$12&lt;&gt;"",'Your debts'!$F$11&lt;'Your debts'!$F$12),AG193,0)+IF(AND('Your debts'!$F$13&lt;&gt;"",'Your debts'!$F$12&lt;&gt;"",'Your debts'!$F$13&lt;'Your debts'!$F$12),AQ193,0)+IF(AND('Your debts'!$F$14&lt;&gt;"",'Your debts'!$F$12&lt;&gt;"",'Your debts'!$F$14&lt;'Your debts'!$F$12),AV193,0)+IF(AND('Your debts'!$F$15&lt;&gt;"",'Your debts'!$F$12&lt;&gt;"",'Your debts'!$F$15&lt;'Your debts'!$F$12),BA193,0)))))</f>
        <v/>
      </c>
      <c r="AN193" s="33">
        <f>AL193-AM193</f>
        <v/>
      </c>
      <c r="AO193" s="33">
        <f>IF(AS192&lt;=0,0,ROUND(AS192*(1+'Your debts'!$D$13/1200),2))</f>
        <v/>
      </c>
      <c r="AP193" s="33">
        <f>IF(AO193&lt;=0,0,MIN('Your debts'!$E$13,AO193))</f>
        <v/>
      </c>
      <c r="AQ193" s="33">
        <f>AO193-AP193</f>
        <v/>
      </c>
      <c r="AR193" s="33">
        <f>IF('Your debts'!$F$13="",0,MIN(AQ193,MAX(0,MAX(0,'Your debts'!$C$19-(G193+L193+Q193+V193+AA193+AF193+AK193+AP193+AU193+AZ193))-(IF(AND('Your debts'!$F$6&lt;&gt;"",'Your debts'!$F$13&lt;&gt;"",'Your debts'!$F$6&lt;'Your debts'!$F$13),H193,0)+IF(AND('Your debts'!$F$7&lt;&gt;"",'Your debts'!$F$13&lt;&gt;"",'Your debts'!$F$7&lt;'Your debts'!$F$13),M193,0)+IF(AND('Your debts'!$F$8&lt;&gt;"",'Your debts'!$F$13&lt;&gt;"",'Your debts'!$F$8&lt;'Your debts'!$F$13),R193,0)+IF(AND('Your debts'!$F$9&lt;&gt;"",'Your debts'!$F$13&lt;&gt;"",'Your debts'!$F$9&lt;'Your debts'!$F$13),W193,0)+IF(AND('Your debts'!$F$10&lt;&gt;"",'Your debts'!$F$13&lt;&gt;"",'Your debts'!$F$10&lt;'Your debts'!$F$13),AB193,0)+IF(AND('Your debts'!$F$11&lt;&gt;"",'Your debts'!$F$13&lt;&gt;"",'Your debts'!$F$11&lt;'Your debts'!$F$13),AG193,0)+IF(AND('Your debts'!$F$12&lt;&gt;"",'Your debts'!$F$13&lt;&gt;"",'Your debts'!$F$12&lt;'Your debts'!$F$13),AL193,0)+IF(AND('Your debts'!$F$14&lt;&gt;"",'Your debts'!$F$13&lt;&gt;"",'Your debts'!$F$14&lt;'Your debts'!$F$13),AV193,0)+IF(AND('Your debts'!$F$15&lt;&gt;"",'Your debts'!$F$13&lt;&gt;"",'Your debts'!$F$15&lt;'Your debts'!$F$13),BA193,0)))))</f>
        <v/>
      </c>
      <c r="AS193" s="33">
        <f>AQ193-AR193</f>
        <v/>
      </c>
      <c r="AT193" s="33">
        <f>IF(AX192&lt;=0,0,ROUND(AX192*(1+'Your debts'!$D$14/1200),2))</f>
        <v/>
      </c>
      <c r="AU193" s="33">
        <f>IF(AT193&lt;=0,0,MIN('Your debts'!$E$14,AT193))</f>
        <v/>
      </c>
      <c r="AV193" s="33">
        <f>AT193-AU193</f>
        <v/>
      </c>
      <c r="AW193" s="33">
        <f>IF('Your debts'!$F$14="",0,MIN(AV193,MAX(0,MAX(0,'Your debts'!$C$19-(G193+L193+Q193+V193+AA193+AF193+AK193+AP193+AU193+AZ193))-(IF(AND('Your debts'!$F$6&lt;&gt;"",'Your debts'!$F$14&lt;&gt;"",'Your debts'!$F$6&lt;'Your debts'!$F$14),H193,0)+IF(AND('Your debts'!$F$7&lt;&gt;"",'Your debts'!$F$14&lt;&gt;"",'Your debts'!$F$7&lt;'Your debts'!$F$14),M193,0)+IF(AND('Your debts'!$F$8&lt;&gt;"",'Your debts'!$F$14&lt;&gt;"",'Your debts'!$F$8&lt;'Your debts'!$F$14),R193,0)+IF(AND('Your debts'!$F$9&lt;&gt;"",'Your debts'!$F$14&lt;&gt;"",'Your debts'!$F$9&lt;'Your debts'!$F$14),W193,0)+IF(AND('Your debts'!$F$10&lt;&gt;"",'Your debts'!$F$14&lt;&gt;"",'Your debts'!$F$10&lt;'Your debts'!$F$14),AB193,0)+IF(AND('Your debts'!$F$11&lt;&gt;"",'Your debts'!$F$14&lt;&gt;"",'Your debts'!$F$11&lt;'Your debts'!$F$14),AG193,0)+IF(AND('Your debts'!$F$12&lt;&gt;"",'Your debts'!$F$14&lt;&gt;"",'Your debts'!$F$12&lt;'Your debts'!$F$14),AL193,0)+IF(AND('Your debts'!$F$13&lt;&gt;"",'Your debts'!$F$14&lt;&gt;"",'Your debts'!$F$13&lt;'Your debts'!$F$14),AQ193,0)+IF(AND('Your debts'!$F$15&lt;&gt;"",'Your debts'!$F$14&lt;&gt;"",'Your debts'!$F$15&lt;'Your debts'!$F$14),BA193,0)))))</f>
        <v/>
      </c>
      <c r="AX193" s="33">
        <f>AV193-AW193</f>
        <v/>
      </c>
      <c r="AY193" s="33">
        <f>IF(BC192&lt;=0,0,ROUND(BC192*(1+'Your debts'!$D$15/1200),2))</f>
        <v/>
      </c>
      <c r="AZ193" s="33">
        <f>IF(AY193&lt;=0,0,MIN('Your debts'!$E$15,AY193))</f>
        <v/>
      </c>
      <c r="BA193" s="33">
        <f>AY193-AZ193</f>
        <v/>
      </c>
      <c r="BB193" s="33">
        <f>IF('Your debts'!$F$15="",0,MIN(BA193,MAX(0,MAX(0,'Your debts'!$C$19-(G193+L193+Q193+V193+AA193+AF193+AK193+AP193+AU193+AZ193))-(IF(AND('Your debts'!$F$6&lt;&gt;"",'Your debts'!$F$15&lt;&gt;"",'Your debts'!$F$6&lt;'Your debts'!$F$15),H193,0)+IF(AND('Your debts'!$F$7&lt;&gt;"",'Your debts'!$F$15&lt;&gt;"",'Your debts'!$F$7&lt;'Your debts'!$F$15),M193,0)+IF(AND('Your debts'!$F$8&lt;&gt;"",'Your debts'!$F$15&lt;&gt;"",'Your debts'!$F$8&lt;'Your debts'!$F$15),R193,0)+IF(AND('Your debts'!$F$9&lt;&gt;"",'Your debts'!$F$15&lt;&gt;"",'Your debts'!$F$9&lt;'Your debts'!$F$15),W193,0)+IF(AND('Your debts'!$F$10&lt;&gt;"",'Your debts'!$F$15&lt;&gt;"",'Your debts'!$F$10&lt;'Your debts'!$F$15),AB193,0)+IF(AND('Your debts'!$F$11&lt;&gt;"",'Your debts'!$F$15&lt;&gt;"",'Your debts'!$F$11&lt;'Your debts'!$F$15),AG193,0)+IF(AND('Your debts'!$F$12&lt;&gt;"",'Your debts'!$F$15&lt;&gt;"",'Your debts'!$F$12&lt;'Your debts'!$F$15),AL193,0)+IF(AND('Your debts'!$F$13&lt;&gt;"",'Your debts'!$F$15&lt;&gt;"",'Your debts'!$F$13&lt;'Your debts'!$F$15),AQ193,0)+IF(AND('Your debts'!$F$14&lt;&gt;"",'Your debts'!$F$15&lt;&gt;"",'Your debts'!$F$14&lt;'Your debts'!$F$15),AV193,0)))))</f>
        <v/>
      </c>
      <c r="BC193" s="33">
        <f>BA193-BB193</f>
        <v/>
      </c>
    </row>
    <row r="194">
      <c r="A194" s="30" t="n">
        <v>179</v>
      </c>
      <c r="B194" s="31">
        <f>EDATE($B$15,179)</f>
        <v/>
      </c>
      <c r="C194" s="32">
        <f>IF(J193&lt;=0,0,F194-J193)+IF(O193&lt;=0,0,K194-O193)+IF(T193&lt;=0,0,P194-T193)+IF(Y193&lt;=0,0,U194-Y193)+IF(AD193&lt;=0,0,Z194-AD193)+IF(AI193&lt;=0,0,AE194-AI193)+IF(AN193&lt;=0,0,AJ194-AN193)+IF(AS193&lt;=0,0,AO194-AS193)+IF(AX193&lt;=0,0,AT194-AX193)+IF(BC193&lt;=0,0,AY194-BC193)</f>
        <v/>
      </c>
      <c r="D194" s="32">
        <f>G194+I194+L194+N194+Q194+S194+V194+X194+AA194+AC194+AF194+AH194+AK194+AM194+AP194+AR194+AU194+AW194+AZ194+BB194</f>
        <v/>
      </c>
      <c r="E194" s="32">
        <f>J194+O194+T194+Y194+AD194+AI194+AN194+AS194+AX194+BC194</f>
        <v/>
      </c>
      <c r="F194" s="33">
        <f>IF(J193&lt;=0,0,ROUND(J193*(1+'Your debts'!$D$6/1200),2))</f>
        <v/>
      </c>
      <c r="G194" s="33">
        <f>IF(F194&lt;=0,0,MIN('Your debts'!$E$6,F194))</f>
        <v/>
      </c>
      <c r="H194" s="33">
        <f>F194-G194</f>
        <v/>
      </c>
      <c r="I194" s="33">
        <f>IF('Your debts'!$F$6="",0,MIN(H194,MAX(0,MAX(0,'Your debts'!$C$19-(G194+L194+Q194+V194+AA194+AF194+AK194+AP194+AU194+AZ194))-(IF(AND('Your debts'!$F$7&lt;&gt;"",'Your debts'!$F$6&lt;&gt;"",'Your debts'!$F$7&lt;'Your debts'!$F$6),M194,0)+IF(AND('Your debts'!$F$8&lt;&gt;"",'Your debts'!$F$6&lt;&gt;"",'Your debts'!$F$8&lt;'Your debts'!$F$6),R194,0)+IF(AND('Your debts'!$F$9&lt;&gt;"",'Your debts'!$F$6&lt;&gt;"",'Your debts'!$F$9&lt;'Your debts'!$F$6),W194,0)+IF(AND('Your debts'!$F$10&lt;&gt;"",'Your debts'!$F$6&lt;&gt;"",'Your debts'!$F$10&lt;'Your debts'!$F$6),AB194,0)+IF(AND('Your debts'!$F$11&lt;&gt;"",'Your debts'!$F$6&lt;&gt;"",'Your debts'!$F$11&lt;'Your debts'!$F$6),AG194,0)+IF(AND('Your debts'!$F$12&lt;&gt;"",'Your debts'!$F$6&lt;&gt;"",'Your debts'!$F$12&lt;'Your debts'!$F$6),AL194,0)+IF(AND('Your debts'!$F$13&lt;&gt;"",'Your debts'!$F$6&lt;&gt;"",'Your debts'!$F$13&lt;'Your debts'!$F$6),AQ194,0)+IF(AND('Your debts'!$F$14&lt;&gt;"",'Your debts'!$F$6&lt;&gt;"",'Your debts'!$F$14&lt;'Your debts'!$F$6),AV194,0)+IF(AND('Your debts'!$F$15&lt;&gt;"",'Your debts'!$F$6&lt;&gt;"",'Your debts'!$F$15&lt;'Your debts'!$F$6),BA194,0)))))</f>
        <v/>
      </c>
      <c r="J194" s="33">
        <f>H194-I194</f>
        <v/>
      </c>
      <c r="K194" s="33">
        <f>IF(O193&lt;=0,0,ROUND(O193*(1+'Your debts'!$D$7/1200),2))</f>
        <v/>
      </c>
      <c r="L194" s="33">
        <f>IF(K194&lt;=0,0,MIN('Your debts'!$E$7,K194))</f>
        <v/>
      </c>
      <c r="M194" s="33">
        <f>K194-L194</f>
        <v/>
      </c>
      <c r="N194" s="33">
        <f>IF('Your debts'!$F$7="",0,MIN(M194,MAX(0,MAX(0,'Your debts'!$C$19-(G194+L194+Q194+V194+AA194+AF194+AK194+AP194+AU194+AZ194))-(IF(AND('Your debts'!$F$6&lt;&gt;"",'Your debts'!$F$7&lt;&gt;"",'Your debts'!$F$6&lt;'Your debts'!$F$7),H194,0)+IF(AND('Your debts'!$F$8&lt;&gt;"",'Your debts'!$F$7&lt;&gt;"",'Your debts'!$F$8&lt;'Your debts'!$F$7),R194,0)+IF(AND('Your debts'!$F$9&lt;&gt;"",'Your debts'!$F$7&lt;&gt;"",'Your debts'!$F$9&lt;'Your debts'!$F$7),W194,0)+IF(AND('Your debts'!$F$10&lt;&gt;"",'Your debts'!$F$7&lt;&gt;"",'Your debts'!$F$10&lt;'Your debts'!$F$7),AB194,0)+IF(AND('Your debts'!$F$11&lt;&gt;"",'Your debts'!$F$7&lt;&gt;"",'Your debts'!$F$11&lt;'Your debts'!$F$7),AG194,0)+IF(AND('Your debts'!$F$12&lt;&gt;"",'Your debts'!$F$7&lt;&gt;"",'Your debts'!$F$12&lt;'Your debts'!$F$7),AL194,0)+IF(AND('Your debts'!$F$13&lt;&gt;"",'Your debts'!$F$7&lt;&gt;"",'Your debts'!$F$13&lt;'Your debts'!$F$7),AQ194,0)+IF(AND('Your debts'!$F$14&lt;&gt;"",'Your debts'!$F$7&lt;&gt;"",'Your debts'!$F$14&lt;'Your debts'!$F$7),AV194,0)+IF(AND('Your debts'!$F$15&lt;&gt;"",'Your debts'!$F$7&lt;&gt;"",'Your debts'!$F$15&lt;'Your debts'!$F$7),BA194,0)))))</f>
        <v/>
      </c>
      <c r="O194" s="33">
        <f>M194-N194</f>
        <v/>
      </c>
      <c r="P194" s="33">
        <f>IF(T193&lt;=0,0,ROUND(T193*(1+'Your debts'!$D$8/1200),2))</f>
        <v/>
      </c>
      <c r="Q194" s="33">
        <f>IF(P194&lt;=0,0,MIN('Your debts'!$E$8,P194))</f>
        <v/>
      </c>
      <c r="R194" s="33">
        <f>P194-Q194</f>
        <v/>
      </c>
      <c r="S194" s="33">
        <f>IF('Your debts'!$F$8="",0,MIN(R194,MAX(0,MAX(0,'Your debts'!$C$19-(G194+L194+Q194+V194+AA194+AF194+AK194+AP194+AU194+AZ194))-(IF(AND('Your debts'!$F$6&lt;&gt;"",'Your debts'!$F$8&lt;&gt;"",'Your debts'!$F$6&lt;'Your debts'!$F$8),H194,0)+IF(AND('Your debts'!$F$7&lt;&gt;"",'Your debts'!$F$8&lt;&gt;"",'Your debts'!$F$7&lt;'Your debts'!$F$8),M194,0)+IF(AND('Your debts'!$F$9&lt;&gt;"",'Your debts'!$F$8&lt;&gt;"",'Your debts'!$F$9&lt;'Your debts'!$F$8),W194,0)+IF(AND('Your debts'!$F$10&lt;&gt;"",'Your debts'!$F$8&lt;&gt;"",'Your debts'!$F$10&lt;'Your debts'!$F$8),AB194,0)+IF(AND('Your debts'!$F$11&lt;&gt;"",'Your debts'!$F$8&lt;&gt;"",'Your debts'!$F$11&lt;'Your debts'!$F$8),AG194,0)+IF(AND('Your debts'!$F$12&lt;&gt;"",'Your debts'!$F$8&lt;&gt;"",'Your debts'!$F$12&lt;'Your debts'!$F$8),AL194,0)+IF(AND('Your debts'!$F$13&lt;&gt;"",'Your debts'!$F$8&lt;&gt;"",'Your debts'!$F$13&lt;'Your debts'!$F$8),AQ194,0)+IF(AND('Your debts'!$F$14&lt;&gt;"",'Your debts'!$F$8&lt;&gt;"",'Your debts'!$F$14&lt;'Your debts'!$F$8),AV194,0)+IF(AND('Your debts'!$F$15&lt;&gt;"",'Your debts'!$F$8&lt;&gt;"",'Your debts'!$F$15&lt;'Your debts'!$F$8),BA194,0)))))</f>
        <v/>
      </c>
      <c r="T194" s="33">
        <f>R194-S194</f>
        <v/>
      </c>
      <c r="U194" s="33">
        <f>IF(Y193&lt;=0,0,ROUND(Y193*(1+'Your debts'!$D$9/1200),2))</f>
        <v/>
      </c>
      <c r="V194" s="33">
        <f>IF(U194&lt;=0,0,MIN('Your debts'!$E$9,U194))</f>
        <v/>
      </c>
      <c r="W194" s="33">
        <f>U194-V194</f>
        <v/>
      </c>
      <c r="X194" s="33">
        <f>IF('Your debts'!$F$9="",0,MIN(W194,MAX(0,MAX(0,'Your debts'!$C$19-(G194+L194+Q194+V194+AA194+AF194+AK194+AP194+AU194+AZ194))-(IF(AND('Your debts'!$F$6&lt;&gt;"",'Your debts'!$F$9&lt;&gt;"",'Your debts'!$F$6&lt;'Your debts'!$F$9),H194,0)+IF(AND('Your debts'!$F$7&lt;&gt;"",'Your debts'!$F$9&lt;&gt;"",'Your debts'!$F$7&lt;'Your debts'!$F$9),M194,0)+IF(AND('Your debts'!$F$8&lt;&gt;"",'Your debts'!$F$9&lt;&gt;"",'Your debts'!$F$8&lt;'Your debts'!$F$9),R194,0)+IF(AND('Your debts'!$F$10&lt;&gt;"",'Your debts'!$F$9&lt;&gt;"",'Your debts'!$F$10&lt;'Your debts'!$F$9),AB194,0)+IF(AND('Your debts'!$F$11&lt;&gt;"",'Your debts'!$F$9&lt;&gt;"",'Your debts'!$F$11&lt;'Your debts'!$F$9),AG194,0)+IF(AND('Your debts'!$F$12&lt;&gt;"",'Your debts'!$F$9&lt;&gt;"",'Your debts'!$F$12&lt;'Your debts'!$F$9),AL194,0)+IF(AND('Your debts'!$F$13&lt;&gt;"",'Your debts'!$F$9&lt;&gt;"",'Your debts'!$F$13&lt;'Your debts'!$F$9),AQ194,0)+IF(AND('Your debts'!$F$14&lt;&gt;"",'Your debts'!$F$9&lt;&gt;"",'Your debts'!$F$14&lt;'Your debts'!$F$9),AV194,0)+IF(AND('Your debts'!$F$15&lt;&gt;"",'Your debts'!$F$9&lt;&gt;"",'Your debts'!$F$15&lt;'Your debts'!$F$9),BA194,0)))))</f>
        <v/>
      </c>
      <c r="Y194" s="33">
        <f>W194-X194</f>
        <v/>
      </c>
      <c r="Z194" s="33">
        <f>IF(AD193&lt;=0,0,ROUND(AD193*(1+'Your debts'!$D$10/1200),2))</f>
        <v/>
      </c>
      <c r="AA194" s="33">
        <f>IF(Z194&lt;=0,0,MIN('Your debts'!$E$10,Z194))</f>
        <v/>
      </c>
      <c r="AB194" s="33">
        <f>Z194-AA194</f>
        <v/>
      </c>
      <c r="AC194" s="33">
        <f>IF('Your debts'!$F$10="",0,MIN(AB194,MAX(0,MAX(0,'Your debts'!$C$19-(G194+L194+Q194+V194+AA194+AF194+AK194+AP194+AU194+AZ194))-(IF(AND('Your debts'!$F$6&lt;&gt;"",'Your debts'!$F$10&lt;&gt;"",'Your debts'!$F$6&lt;'Your debts'!$F$10),H194,0)+IF(AND('Your debts'!$F$7&lt;&gt;"",'Your debts'!$F$10&lt;&gt;"",'Your debts'!$F$7&lt;'Your debts'!$F$10),M194,0)+IF(AND('Your debts'!$F$8&lt;&gt;"",'Your debts'!$F$10&lt;&gt;"",'Your debts'!$F$8&lt;'Your debts'!$F$10),R194,0)+IF(AND('Your debts'!$F$9&lt;&gt;"",'Your debts'!$F$10&lt;&gt;"",'Your debts'!$F$9&lt;'Your debts'!$F$10),W194,0)+IF(AND('Your debts'!$F$11&lt;&gt;"",'Your debts'!$F$10&lt;&gt;"",'Your debts'!$F$11&lt;'Your debts'!$F$10),AG194,0)+IF(AND('Your debts'!$F$12&lt;&gt;"",'Your debts'!$F$10&lt;&gt;"",'Your debts'!$F$12&lt;'Your debts'!$F$10),AL194,0)+IF(AND('Your debts'!$F$13&lt;&gt;"",'Your debts'!$F$10&lt;&gt;"",'Your debts'!$F$13&lt;'Your debts'!$F$10),AQ194,0)+IF(AND('Your debts'!$F$14&lt;&gt;"",'Your debts'!$F$10&lt;&gt;"",'Your debts'!$F$14&lt;'Your debts'!$F$10),AV194,0)+IF(AND('Your debts'!$F$15&lt;&gt;"",'Your debts'!$F$10&lt;&gt;"",'Your debts'!$F$15&lt;'Your debts'!$F$10),BA194,0)))))</f>
        <v/>
      </c>
      <c r="AD194" s="33">
        <f>AB194-AC194</f>
        <v/>
      </c>
      <c r="AE194" s="33">
        <f>IF(AI193&lt;=0,0,ROUND(AI193*(1+'Your debts'!$D$11/1200),2))</f>
        <v/>
      </c>
      <c r="AF194" s="33">
        <f>IF(AE194&lt;=0,0,MIN('Your debts'!$E$11,AE194))</f>
        <v/>
      </c>
      <c r="AG194" s="33">
        <f>AE194-AF194</f>
        <v/>
      </c>
      <c r="AH194" s="33">
        <f>IF('Your debts'!$F$11="",0,MIN(AG194,MAX(0,MAX(0,'Your debts'!$C$19-(G194+L194+Q194+V194+AA194+AF194+AK194+AP194+AU194+AZ194))-(IF(AND('Your debts'!$F$6&lt;&gt;"",'Your debts'!$F$11&lt;&gt;"",'Your debts'!$F$6&lt;'Your debts'!$F$11),H194,0)+IF(AND('Your debts'!$F$7&lt;&gt;"",'Your debts'!$F$11&lt;&gt;"",'Your debts'!$F$7&lt;'Your debts'!$F$11),M194,0)+IF(AND('Your debts'!$F$8&lt;&gt;"",'Your debts'!$F$11&lt;&gt;"",'Your debts'!$F$8&lt;'Your debts'!$F$11),R194,0)+IF(AND('Your debts'!$F$9&lt;&gt;"",'Your debts'!$F$11&lt;&gt;"",'Your debts'!$F$9&lt;'Your debts'!$F$11),W194,0)+IF(AND('Your debts'!$F$10&lt;&gt;"",'Your debts'!$F$11&lt;&gt;"",'Your debts'!$F$10&lt;'Your debts'!$F$11),AB194,0)+IF(AND('Your debts'!$F$12&lt;&gt;"",'Your debts'!$F$11&lt;&gt;"",'Your debts'!$F$12&lt;'Your debts'!$F$11),AL194,0)+IF(AND('Your debts'!$F$13&lt;&gt;"",'Your debts'!$F$11&lt;&gt;"",'Your debts'!$F$13&lt;'Your debts'!$F$11),AQ194,0)+IF(AND('Your debts'!$F$14&lt;&gt;"",'Your debts'!$F$11&lt;&gt;"",'Your debts'!$F$14&lt;'Your debts'!$F$11),AV194,0)+IF(AND('Your debts'!$F$15&lt;&gt;"",'Your debts'!$F$11&lt;&gt;"",'Your debts'!$F$15&lt;'Your debts'!$F$11),BA194,0)))))</f>
        <v/>
      </c>
      <c r="AI194" s="33">
        <f>AG194-AH194</f>
        <v/>
      </c>
      <c r="AJ194" s="33">
        <f>IF(AN193&lt;=0,0,ROUND(AN193*(1+'Your debts'!$D$12/1200),2))</f>
        <v/>
      </c>
      <c r="AK194" s="33">
        <f>IF(AJ194&lt;=0,0,MIN('Your debts'!$E$12,AJ194))</f>
        <v/>
      </c>
      <c r="AL194" s="33">
        <f>AJ194-AK194</f>
        <v/>
      </c>
      <c r="AM194" s="33">
        <f>IF('Your debts'!$F$12="",0,MIN(AL194,MAX(0,MAX(0,'Your debts'!$C$19-(G194+L194+Q194+V194+AA194+AF194+AK194+AP194+AU194+AZ194))-(IF(AND('Your debts'!$F$6&lt;&gt;"",'Your debts'!$F$12&lt;&gt;"",'Your debts'!$F$6&lt;'Your debts'!$F$12),H194,0)+IF(AND('Your debts'!$F$7&lt;&gt;"",'Your debts'!$F$12&lt;&gt;"",'Your debts'!$F$7&lt;'Your debts'!$F$12),M194,0)+IF(AND('Your debts'!$F$8&lt;&gt;"",'Your debts'!$F$12&lt;&gt;"",'Your debts'!$F$8&lt;'Your debts'!$F$12),R194,0)+IF(AND('Your debts'!$F$9&lt;&gt;"",'Your debts'!$F$12&lt;&gt;"",'Your debts'!$F$9&lt;'Your debts'!$F$12),W194,0)+IF(AND('Your debts'!$F$10&lt;&gt;"",'Your debts'!$F$12&lt;&gt;"",'Your debts'!$F$10&lt;'Your debts'!$F$12),AB194,0)+IF(AND('Your debts'!$F$11&lt;&gt;"",'Your debts'!$F$12&lt;&gt;"",'Your debts'!$F$11&lt;'Your debts'!$F$12),AG194,0)+IF(AND('Your debts'!$F$13&lt;&gt;"",'Your debts'!$F$12&lt;&gt;"",'Your debts'!$F$13&lt;'Your debts'!$F$12),AQ194,0)+IF(AND('Your debts'!$F$14&lt;&gt;"",'Your debts'!$F$12&lt;&gt;"",'Your debts'!$F$14&lt;'Your debts'!$F$12),AV194,0)+IF(AND('Your debts'!$F$15&lt;&gt;"",'Your debts'!$F$12&lt;&gt;"",'Your debts'!$F$15&lt;'Your debts'!$F$12),BA194,0)))))</f>
        <v/>
      </c>
      <c r="AN194" s="33">
        <f>AL194-AM194</f>
        <v/>
      </c>
      <c r="AO194" s="33">
        <f>IF(AS193&lt;=0,0,ROUND(AS193*(1+'Your debts'!$D$13/1200),2))</f>
        <v/>
      </c>
      <c r="AP194" s="33">
        <f>IF(AO194&lt;=0,0,MIN('Your debts'!$E$13,AO194))</f>
        <v/>
      </c>
      <c r="AQ194" s="33">
        <f>AO194-AP194</f>
        <v/>
      </c>
      <c r="AR194" s="33">
        <f>IF('Your debts'!$F$13="",0,MIN(AQ194,MAX(0,MAX(0,'Your debts'!$C$19-(G194+L194+Q194+V194+AA194+AF194+AK194+AP194+AU194+AZ194))-(IF(AND('Your debts'!$F$6&lt;&gt;"",'Your debts'!$F$13&lt;&gt;"",'Your debts'!$F$6&lt;'Your debts'!$F$13),H194,0)+IF(AND('Your debts'!$F$7&lt;&gt;"",'Your debts'!$F$13&lt;&gt;"",'Your debts'!$F$7&lt;'Your debts'!$F$13),M194,0)+IF(AND('Your debts'!$F$8&lt;&gt;"",'Your debts'!$F$13&lt;&gt;"",'Your debts'!$F$8&lt;'Your debts'!$F$13),R194,0)+IF(AND('Your debts'!$F$9&lt;&gt;"",'Your debts'!$F$13&lt;&gt;"",'Your debts'!$F$9&lt;'Your debts'!$F$13),W194,0)+IF(AND('Your debts'!$F$10&lt;&gt;"",'Your debts'!$F$13&lt;&gt;"",'Your debts'!$F$10&lt;'Your debts'!$F$13),AB194,0)+IF(AND('Your debts'!$F$11&lt;&gt;"",'Your debts'!$F$13&lt;&gt;"",'Your debts'!$F$11&lt;'Your debts'!$F$13),AG194,0)+IF(AND('Your debts'!$F$12&lt;&gt;"",'Your debts'!$F$13&lt;&gt;"",'Your debts'!$F$12&lt;'Your debts'!$F$13),AL194,0)+IF(AND('Your debts'!$F$14&lt;&gt;"",'Your debts'!$F$13&lt;&gt;"",'Your debts'!$F$14&lt;'Your debts'!$F$13),AV194,0)+IF(AND('Your debts'!$F$15&lt;&gt;"",'Your debts'!$F$13&lt;&gt;"",'Your debts'!$F$15&lt;'Your debts'!$F$13),BA194,0)))))</f>
        <v/>
      </c>
      <c r="AS194" s="33">
        <f>AQ194-AR194</f>
        <v/>
      </c>
      <c r="AT194" s="33">
        <f>IF(AX193&lt;=0,0,ROUND(AX193*(1+'Your debts'!$D$14/1200),2))</f>
        <v/>
      </c>
      <c r="AU194" s="33">
        <f>IF(AT194&lt;=0,0,MIN('Your debts'!$E$14,AT194))</f>
        <v/>
      </c>
      <c r="AV194" s="33">
        <f>AT194-AU194</f>
        <v/>
      </c>
      <c r="AW194" s="33">
        <f>IF('Your debts'!$F$14="",0,MIN(AV194,MAX(0,MAX(0,'Your debts'!$C$19-(G194+L194+Q194+V194+AA194+AF194+AK194+AP194+AU194+AZ194))-(IF(AND('Your debts'!$F$6&lt;&gt;"",'Your debts'!$F$14&lt;&gt;"",'Your debts'!$F$6&lt;'Your debts'!$F$14),H194,0)+IF(AND('Your debts'!$F$7&lt;&gt;"",'Your debts'!$F$14&lt;&gt;"",'Your debts'!$F$7&lt;'Your debts'!$F$14),M194,0)+IF(AND('Your debts'!$F$8&lt;&gt;"",'Your debts'!$F$14&lt;&gt;"",'Your debts'!$F$8&lt;'Your debts'!$F$14),R194,0)+IF(AND('Your debts'!$F$9&lt;&gt;"",'Your debts'!$F$14&lt;&gt;"",'Your debts'!$F$9&lt;'Your debts'!$F$14),W194,0)+IF(AND('Your debts'!$F$10&lt;&gt;"",'Your debts'!$F$14&lt;&gt;"",'Your debts'!$F$10&lt;'Your debts'!$F$14),AB194,0)+IF(AND('Your debts'!$F$11&lt;&gt;"",'Your debts'!$F$14&lt;&gt;"",'Your debts'!$F$11&lt;'Your debts'!$F$14),AG194,0)+IF(AND('Your debts'!$F$12&lt;&gt;"",'Your debts'!$F$14&lt;&gt;"",'Your debts'!$F$12&lt;'Your debts'!$F$14),AL194,0)+IF(AND('Your debts'!$F$13&lt;&gt;"",'Your debts'!$F$14&lt;&gt;"",'Your debts'!$F$13&lt;'Your debts'!$F$14),AQ194,0)+IF(AND('Your debts'!$F$15&lt;&gt;"",'Your debts'!$F$14&lt;&gt;"",'Your debts'!$F$15&lt;'Your debts'!$F$14),BA194,0)))))</f>
        <v/>
      </c>
      <c r="AX194" s="33">
        <f>AV194-AW194</f>
        <v/>
      </c>
      <c r="AY194" s="33">
        <f>IF(BC193&lt;=0,0,ROUND(BC193*(1+'Your debts'!$D$15/1200),2))</f>
        <v/>
      </c>
      <c r="AZ194" s="33">
        <f>IF(AY194&lt;=0,0,MIN('Your debts'!$E$15,AY194))</f>
        <v/>
      </c>
      <c r="BA194" s="33">
        <f>AY194-AZ194</f>
        <v/>
      </c>
      <c r="BB194" s="33">
        <f>IF('Your debts'!$F$15="",0,MIN(BA194,MAX(0,MAX(0,'Your debts'!$C$19-(G194+L194+Q194+V194+AA194+AF194+AK194+AP194+AU194+AZ194))-(IF(AND('Your debts'!$F$6&lt;&gt;"",'Your debts'!$F$15&lt;&gt;"",'Your debts'!$F$6&lt;'Your debts'!$F$15),H194,0)+IF(AND('Your debts'!$F$7&lt;&gt;"",'Your debts'!$F$15&lt;&gt;"",'Your debts'!$F$7&lt;'Your debts'!$F$15),M194,0)+IF(AND('Your debts'!$F$8&lt;&gt;"",'Your debts'!$F$15&lt;&gt;"",'Your debts'!$F$8&lt;'Your debts'!$F$15),R194,0)+IF(AND('Your debts'!$F$9&lt;&gt;"",'Your debts'!$F$15&lt;&gt;"",'Your debts'!$F$9&lt;'Your debts'!$F$15),W194,0)+IF(AND('Your debts'!$F$10&lt;&gt;"",'Your debts'!$F$15&lt;&gt;"",'Your debts'!$F$10&lt;'Your debts'!$F$15),AB194,0)+IF(AND('Your debts'!$F$11&lt;&gt;"",'Your debts'!$F$15&lt;&gt;"",'Your debts'!$F$11&lt;'Your debts'!$F$15),AG194,0)+IF(AND('Your debts'!$F$12&lt;&gt;"",'Your debts'!$F$15&lt;&gt;"",'Your debts'!$F$12&lt;'Your debts'!$F$15),AL194,0)+IF(AND('Your debts'!$F$13&lt;&gt;"",'Your debts'!$F$15&lt;&gt;"",'Your debts'!$F$13&lt;'Your debts'!$F$15),AQ194,0)+IF(AND('Your debts'!$F$14&lt;&gt;"",'Your debts'!$F$15&lt;&gt;"",'Your debts'!$F$14&lt;'Your debts'!$F$15),AV194,0)))))</f>
        <v/>
      </c>
      <c r="BC194" s="33">
        <f>BA194-BB194</f>
        <v/>
      </c>
    </row>
    <row r="195">
      <c r="A195" s="30" t="n">
        <v>180</v>
      </c>
      <c r="B195" s="31">
        <f>EDATE($B$15,180)</f>
        <v/>
      </c>
      <c r="C195" s="32">
        <f>IF(J194&lt;=0,0,F195-J194)+IF(O194&lt;=0,0,K195-O194)+IF(T194&lt;=0,0,P195-T194)+IF(Y194&lt;=0,0,U195-Y194)+IF(AD194&lt;=0,0,Z195-AD194)+IF(AI194&lt;=0,0,AE195-AI194)+IF(AN194&lt;=0,0,AJ195-AN194)+IF(AS194&lt;=0,0,AO195-AS194)+IF(AX194&lt;=0,0,AT195-AX194)+IF(BC194&lt;=0,0,AY195-BC194)</f>
        <v/>
      </c>
      <c r="D195" s="32">
        <f>G195+I195+L195+N195+Q195+S195+V195+X195+AA195+AC195+AF195+AH195+AK195+AM195+AP195+AR195+AU195+AW195+AZ195+BB195</f>
        <v/>
      </c>
      <c r="E195" s="32">
        <f>J195+O195+T195+Y195+AD195+AI195+AN195+AS195+AX195+BC195</f>
        <v/>
      </c>
      <c r="F195" s="33">
        <f>IF(J194&lt;=0,0,ROUND(J194*(1+'Your debts'!$D$6/1200),2))</f>
        <v/>
      </c>
      <c r="G195" s="33">
        <f>IF(F195&lt;=0,0,MIN('Your debts'!$E$6,F195))</f>
        <v/>
      </c>
      <c r="H195" s="33">
        <f>F195-G195</f>
        <v/>
      </c>
      <c r="I195" s="33">
        <f>IF('Your debts'!$F$6="",0,MIN(H195,MAX(0,MAX(0,'Your debts'!$C$19-(G195+L195+Q195+V195+AA195+AF195+AK195+AP195+AU195+AZ195))-(IF(AND('Your debts'!$F$7&lt;&gt;"",'Your debts'!$F$6&lt;&gt;"",'Your debts'!$F$7&lt;'Your debts'!$F$6),M195,0)+IF(AND('Your debts'!$F$8&lt;&gt;"",'Your debts'!$F$6&lt;&gt;"",'Your debts'!$F$8&lt;'Your debts'!$F$6),R195,0)+IF(AND('Your debts'!$F$9&lt;&gt;"",'Your debts'!$F$6&lt;&gt;"",'Your debts'!$F$9&lt;'Your debts'!$F$6),W195,0)+IF(AND('Your debts'!$F$10&lt;&gt;"",'Your debts'!$F$6&lt;&gt;"",'Your debts'!$F$10&lt;'Your debts'!$F$6),AB195,0)+IF(AND('Your debts'!$F$11&lt;&gt;"",'Your debts'!$F$6&lt;&gt;"",'Your debts'!$F$11&lt;'Your debts'!$F$6),AG195,0)+IF(AND('Your debts'!$F$12&lt;&gt;"",'Your debts'!$F$6&lt;&gt;"",'Your debts'!$F$12&lt;'Your debts'!$F$6),AL195,0)+IF(AND('Your debts'!$F$13&lt;&gt;"",'Your debts'!$F$6&lt;&gt;"",'Your debts'!$F$13&lt;'Your debts'!$F$6),AQ195,0)+IF(AND('Your debts'!$F$14&lt;&gt;"",'Your debts'!$F$6&lt;&gt;"",'Your debts'!$F$14&lt;'Your debts'!$F$6),AV195,0)+IF(AND('Your debts'!$F$15&lt;&gt;"",'Your debts'!$F$6&lt;&gt;"",'Your debts'!$F$15&lt;'Your debts'!$F$6),BA195,0)))))</f>
        <v/>
      </c>
      <c r="J195" s="33">
        <f>H195-I195</f>
        <v/>
      </c>
      <c r="K195" s="33">
        <f>IF(O194&lt;=0,0,ROUND(O194*(1+'Your debts'!$D$7/1200),2))</f>
        <v/>
      </c>
      <c r="L195" s="33">
        <f>IF(K195&lt;=0,0,MIN('Your debts'!$E$7,K195))</f>
        <v/>
      </c>
      <c r="M195" s="33">
        <f>K195-L195</f>
        <v/>
      </c>
      <c r="N195" s="33">
        <f>IF('Your debts'!$F$7="",0,MIN(M195,MAX(0,MAX(0,'Your debts'!$C$19-(G195+L195+Q195+V195+AA195+AF195+AK195+AP195+AU195+AZ195))-(IF(AND('Your debts'!$F$6&lt;&gt;"",'Your debts'!$F$7&lt;&gt;"",'Your debts'!$F$6&lt;'Your debts'!$F$7),H195,0)+IF(AND('Your debts'!$F$8&lt;&gt;"",'Your debts'!$F$7&lt;&gt;"",'Your debts'!$F$8&lt;'Your debts'!$F$7),R195,0)+IF(AND('Your debts'!$F$9&lt;&gt;"",'Your debts'!$F$7&lt;&gt;"",'Your debts'!$F$9&lt;'Your debts'!$F$7),W195,0)+IF(AND('Your debts'!$F$10&lt;&gt;"",'Your debts'!$F$7&lt;&gt;"",'Your debts'!$F$10&lt;'Your debts'!$F$7),AB195,0)+IF(AND('Your debts'!$F$11&lt;&gt;"",'Your debts'!$F$7&lt;&gt;"",'Your debts'!$F$11&lt;'Your debts'!$F$7),AG195,0)+IF(AND('Your debts'!$F$12&lt;&gt;"",'Your debts'!$F$7&lt;&gt;"",'Your debts'!$F$12&lt;'Your debts'!$F$7),AL195,0)+IF(AND('Your debts'!$F$13&lt;&gt;"",'Your debts'!$F$7&lt;&gt;"",'Your debts'!$F$13&lt;'Your debts'!$F$7),AQ195,0)+IF(AND('Your debts'!$F$14&lt;&gt;"",'Your debts'!$F$7&lt;&gt;"",'Your debts'!$F$14&lt;'Your debts'!$F$7),AV195,0)+IF(AND('Your debts'!$F$15&lt;&gt;"",'Your debts'!$F$7&lt;&gt;"",'Your debts'!$F$15&lt;'Your debts'!$F$7),BA195,0)))))</f>
        <v/>
      </c>
      <c r="O195" s="33">
        <f>M195-N195</f>
        <v/>
      </c>
      <c r="P195" s="33">
        <f>IF(T194&lt;=0,0,ROUND(T194*(1+'Your debts'!$D$8/1200),2))</f>
        <v/>
      </c>
      <c r="Q195" s="33">
        <f>IF(P195&lt;=0,0,MIN('Your debts'!$E$8,P195))</f>
        <v/>
      </c>
      <c r="R195" s="33">
        <f>P195-Q195</f>
        <v/>
      </c>
      <c r="S195" s="33">
        <f>IF('Your debts'!$F$8="",0,MIN(R195,MAX(0,MAX(0,'Your debts'!$C$19-(G195+L195+Q195+V195+AA195+AF195+AK195+AP195+AU195+AZ195))-(IF(AND('Your debts'!$F$6&lt;&gt;"",'Your debts'!$F$8&lt;&gt;"",'Your debts'!$F$6&lt;'Your debts'!$F$8),H195,0)+IF(AND('Your debts'!$F$7&lt;&gt;"",'Your debts'!$F$8&lt;&gt;"",'Your debts'!$F$7&lt;'Your debts'!$F$8),M195,0)+IF(AND('Your debts'!$F$9&lt;&gt;"",'Your debts'!$F$8&lt;&gt;"",'Your debts'!$F$9&lt;'Your debts'!$F$8),W195,0)+IF(AND('Your debts'!$F$10&lt;&gt;"",'Your debts'!$F$8&lt;&gt;"",'Your debts'!$F$10&lt;'Your debts'!$F$8),AB195,0)+IF(AND('Your debts'!$F$11&lt;&gt;"",'Your debts'!$F$8&lt;&gt;"",'Your debts'!$F$11&lt;'Your debts'!$F$8),AG195,0)+IF(AND('Your debts'!$F$12&lt;&gt;"",'Your debts'!$F$8&lt;&gt;"",'Your debts'!$F$12&lt;'Your debts'!$F$8),AL195,0)+IF(AND('Your debts'!$F$13&lt;&gt;"",'Your debts'!$F$8&lt;&gt;"",'Your debts'!$F$13&lt;'Your debts'!$F$8),AQ195,0)+IF(AND('Your debts'!$F$14&lt;&gt;"",'Your debts'!$F$8&lt;&gt;"",'Your debts'!$F$14&lt;'Your debts'!$F$8),AV195,0)+IF(AND('Your debts'!$F$15&lt;&gt;"",'Your debts'!$F$8&lt;&gt;"",'Your debts'!$F$15&lt;'Your debts'!$F$8),BA195,0)))))</f>
        <v/>
      </c>
      <c r="T195" s="33">
        <f>R195-S195</f>
        <v/>
      </c>
      <c r="U195" s="33">
        <f>IF(Y194&lt;=0,0,ROUND(Y194*(1+'Your debts'!$D$9/1200),2))</f>
        <v/>
      </c>
      <c r="V195" s="33">
        <f>IF(U195&lt;=0,0,MIN('Your debts'!$E$9,U195))</f>
        <v/>
      </c>
      <c r="W195" s="33">
        <f>U195-V195</f>
        <v/>
      </c>
      <c r="X195" s="33">
        <f>IF('Your debts'!$F$9="",0,MIN(W195,MAX(0,MAX(0,'Your debts'!$C$19-(G195+L195+Q195+V195+AA195+AF195+AK195+AP195+AU195+AZ195))-(IF(AND('Your debts'!$F$6&lt;&gt;"",'Your debts'!$F$9&lt;&gt;"",'Your debts'!$F$6&lt;'Your debts'!$F$9),H195,0)+IF(AND('Your debts'!$F$7&lt;&gt;"",'Your debts'!$F$9&lt;&gt;"",'Your debts'!$F$7&lt;'Your debts'!$F$9),M195,0)+IF(AND('Your debts'!$F$8&lt;&gt;"",'Your debts'!$F$9&lt;&gt;"",'Your debts'!$F$8&lt;'Your debts'!$F$9),R195,0)+IF(AND('Your debts'!$F$10&lt;&gt;"",'Your debts'!$F$9&lt;&gt;"",'Your debts'!$F$10&lt;'Your debts'!$F$9),AB195,0)+IF(AND('Your debts'!$F$11&lt;&gt;"",'Your debts'!$F$9&lt;&gt;"",'Your debts'!$F$11&lt;'Your debts'!$F$9),AG195,0)+IF(AND('Your debts'!$F$12&lt;&gt;"",'Your debts'!$F$9&lt;&gt;"",'Your debts'!$F$12&lt;'Your debts'!$F$9),AL195,0)+IF(AND('Your debts'!$F$13&lt;&gt;"",'Your debts'!$F$9&lt;&gt;"",'Your debts'!$F$13&lt;'Your debts'!$F$9),AQ195,0)+IF(AND('Your debts'!$F$14&lt;&gt;"",'Your debts'!$F$9&lt;&gt;"",'Your debts'!$F$14&lt;'Your debts'!$F$9),AV195,0)+IF(AND('Your debts'!$F$15&lt;&gt;"",'Your debts'!$F$9&lt;&gt;"",'Your debts'!$F$15&lt;'Your debts'!$F$9),BA195,0)))))</f>
        <v/>
      </c>
      <c r="Y195" s="33">
        <f>W195-X195</f>
        <v/>
      </c>
      <c r="Z195" s="33">
        <f>IF(AD194&lt;=0,0,ROUND(AD194*(1+'Your debts'!$D$10/1200),2))</f>
        <v/>
      </c>
      <c r="AA195" s="33">
        <f>IF(Z195&lt;=0,0,MIN('Your debts'!$E$10,Z195))</f>
        <v/>
      </c>
      <c r="AB195" s="33">
        <f>Z195-AA195</f>
        <v/>
      </c>
      <c r="AC195" s="33">
        <f>IF('Your debts'!$F$10="",0,MIN(AB195,MAX(0,MAX(0,'Your debts'!$C$19-(G195+L195+Q195+V195+AA195+AF195+AK195+AP195+AU195+AZ195))-(IF(AND('Your debts'!$F$6&lt;&gt;"",'Your debts'!$F$10&lt;&gt;"",'Your debts'!$F$6&lt;'Your debts'!$F$10),H195,0)+IF(AND('Your debts'!$F$7&lt;&gt;"",'Your debts'!$F$10&lt;&gt;"",'Your debts'!$F$7&lt;'Your debts'!$F$10),M195,0)+IF(AND('Your debts'!$F$8&lt;&gt;"",'Your debts'!$F$10&lt;&gt;"",'Your debts'!$F$8&lt;'Your debts'!$F$10),R195,0)+IF(AND('Your debts'!$F$9&lt;&gt;"",'Your debts'!$F$10&lt;&gt;"",'Your debts'!$F$9&lt;'Your debts'!$F$10),W195,0)+IF(AND('Your debts'!$F$11&lt;&gt;"",'Your debts'!$F$10&lt;&gt;"",'Your debts'!$F$11&lt;'Your debts'!$F$10),AG195,0)+IF(AND('Your debts'!$F$12&lt;&gt;"",'Your debts'!$F$10&lt;&gt;"",'Your debts'!$F$12&lt;'Your debts'!$F$10),AL195,0)+IF(AND('Your debts'!$F$13&lt;&gt;"",'Your debts'!$F$10&lt;&gt;"",'Your debts'!$F$13&lt;'Your debts'!$F$10),AQ195,0)+IF(AND('Your debts'!$F$14&lt;&gt;"",'Your debts'!$F$10&lt;&gt;"",'Your debts'!$F$14&lt;'Your debts'!$F$10),AV195,0)+IF(AND('Your debts'!$F$15&lt;&gt;"",'Your debts'!$F$10&lt;&gt;"",'Your debts'!$F$15&lt;'Your debts'!$F$10),BA195,0)))))</f>
        <v/>
      </c>
      <c r="AD195" s="33">
        <f>AB195-AC195</f>
        <v/>
      </c>
      <c r="AE195" s="33">
        <f>IF(AI194&lt;=0,0,ROUND(AI194*(1+'Your debts'!$D$11/1200),2))</f>
        <v/>
      </c>
      <c r="AF195" s="33">
        <f>IF(AE195&lt;=0,0,MIN('Your debts'!$E$11,AE195))</f>
        <v/>
      </c>
      <c r="AG195" s="33">
        <f>AE195-AF195</f>
        <v/>
      </c>
      <c r="AH195" s="33">
        <f>IF('Your debts'!$F$11="",0,MIN(AG195,MAX(0,MAX(0,'Your debts'!$C$19-(G195+L195+Q195+V195+AA195+AF195+AK195+AP195+AU195+AZ195))-(IF(AND('Your debts'!$F$6&lt;&gt;"",'Your debts'!$F$11&lt;&gt;"",'Your debts'!$F$6&lt;'Your debts'!$F$11),H195,0)+IF(AND('Your debts'!$F$7&lt;&gt;"",'Your debts'!$F$11&lt;&gt;"",'Your debts'!$F$7&lt;'Your debts'!$F$11),M195,0)+IF(AND('Your debts'!$F$8&lt;&gt;"",'Your debts'!$F$11&lt;&gt;"",'Your debts'!$F$8&lt;'Your debts'!$F$11),R195,0)+IF(AND('Your debts'!$F$9&lt;&gt;"",'Your debts'!$F$11&lt;&gt;"",'Your debts'!$F$9&lt;'Your debts'!$F$11),W195,0)+IF(AND('Your debts'!$F$10&lt;&gt;"",'Your debts'!$F$11&lt;&gt;"",'Your debts'!$F$10&lt;'Your debts'!$F$11),AB195,0)+IF(AND('Your debts'!$F$12&lt;&gt;"",'Your debts'!$F$11&lt;&gt;"",'Your debts'!$F$12&lt;'Your debts'!$F$11),AL195,0)+IF(AND('Your debts'!$F$13&lt;&gt;"",'Your debts'!$F$11&lt;&gt;"",'Your debts'!$F$13&lt;'Your debts'!$F$11),AQ195,0)+IF(AND('Your debts'!$F$14&lt;&gt;"",'Your debts'!$F$11&lt;&gt;"",'Your debts'!$F$14&lt;'Your debts'!$F$11),AV195,0)+IF(AND('Your debts'!$F$15&lt;&gt;"",'Your debts'!$F$11&lt;&gt;"",'Your debts'!$F$15&lt;'Your debts'!$F$11),BA195,0)))))</f>
        <v/>
      </c>
      <c r="AI195" s="33">
        <f>AG195-AH195</f>
        <v/>
      </c>
      <c r="AJ195" s="33">
        <f>IF(AN194&lt;=0,0,ROUND(AN194*(1+'Your debts'!$D$12/1200),2))</f>
        <v/>
      </c>
      <c r="AK195" s="33">
        <f>IF(AJ195&lt;=0,0,MIN('Your debts'!$E$12,AJ195))</f>
        <v/>
      </c>
      <c r="AL195" s="33">
        <f>AJ195-AK195</f>
        <v/>
      </c>
      <c r="AM195" s="33">
        <f>IF('Your debts'!$F$12="",0,MIN(AL195,MAX(0,MAX(0,'Your debts'!$C$19-(G195+L195+Q195+V195+AA195+AF195+AK195+AP195+AU195+AZ195))-(IF(AND('Your debts'!$F$6&lt;&gt;"",'Your debts'!$F$12&lt;&gt;"",'Your debts'!$F$6&lt;'Your debts'!$F$12),H195,0)+IF(AND('Your debts'!$F$7&lt;&gt;"",'Your debts'!$F$12&lt;&gt;"",'Your debts'!$F$7&lt;'Your debts'!$F$12),M195,0)+IF(AND('Your debts'!$F$8&lt;&gt;"",'Your debts'!$F$12&lt;&gt;"",'Your debts'!$F$8&lt;'Your debts'!$F$12),R195,0)+IF(AND('Your debts'!$F$9&lt;&gt;"",'Your debts'!$F$12&lt;&gt;"",'Your debts'!$F$9&lt;'Your debts'!$F$12),W195,0)+IF(AND('Your debts'!$F$10&lt;&gt;"",'Your debts'!$F$12&lt;&gt;"",'Your debts'!$F$10&lt;'Your debts'!$F$12),AB195,0)+IF(AND('Your debts'!$F$11&lt;&gt;"",'Your debts'!$F$12&lt;&gt;"",'Your debts'!$F$11&lt;'Your debts'!$F$12),AG195,0)+IF(AND('Your debts'!$F$13&lt;&gt;"",'Your debts'!$F$12&lt;&gt;"",'Your debts'!$F$13&lt;'Your debts'!$F$12),AQ195,0)+IF(AND('Your debts'!$F$14&lt;&gt;"",'Your debts'!$F$12&lt;&gt;"",'Your debts'!$F$14&lt;'Your debts'!$F$12),AV195,0)+IF(AND('Your debts'!$F$15&lt;&gt;"",'Your debts'!$F$12&lt;&gt;"",'Your debts'!$F$15&lt;'Your debts'!$F$12),BA195,0)))))</f>
        <v/>
      </c>
      <c r="AN195" s="33">
        <f>AL195-AM195</f>
        <v/>
      </c>
      <c r="AO195" s="33">
        <f>IF(AS194&lt;=0,0,ROUND(AS194*(1+'Your debts'!$D$13/1200),2))</f>
        <v/>
      </c>
      <c r="AP195" s="33">
        <f>IF(AO195&lt;=0,0,MIN('Your debts'!$E$13,AO195))</f>
        <v/>
      </c>
      <c r="AQ195" s="33">
        <f>AO195-AP195</f>
        <v/>
      </c>
      <c r="AR195" s="33">
        <f>IF('Your debts'!$F$13="",0,MIN(AQ195,MAX(0,MAX(0,'Your debts'!$C$19-(G195+L195+Q195+V195+AA195+AF195+AK195+AP195+AU195+AZ195))-(IF(AND('Your debts'!$F$6&lt;&gt;"",'Your debts'!$F$13&lt;&gt;"",'Your debts'!$F$6&lt;'Your debts'!$F$13),H195,0)+IF(AND('Your debts'!$F$7&lt;&gt;"",'Your debts'!$F$13&lt;&gt;"",'Your debts'!$F$7&lt;'Your debts'!$F$13),M195,0)+IF(AND('Your debts'!$F$8&lt;&gt;"",'Your debts'!$F$13&lt;&gt;"",'Your debts'!$F$8&lt;'Your debts'!$F$13),R195,0)+IF(AND('Your debts'!$F$9&lt;&gt;"",'Your debts'!$F$13&lt;&gt;"",'Your debts'!$F$9&lt;'Your debts'!$F$13),W195,0)+IF(AND('Your debts'!$F$10&lt;&gt;"",'Your debts'!$F$13&lt;&gt;"",'Your debts'!$F$10&lt;'Your debts'!$F$13),AB195,0)+IF(AND('Your debts'!$F$11&lt;&gt;"",'Your debts'!$F$13&lt;&gt;"",'Your debts'!$F$11&lt;'Your debts'!$F$13),AG195,0)+IF(AND('Your debts'!$F$12&lt;&gt;"",'Your debts'!$F$13&lt;&gt;"",'Your debts'!$F$12&lt;'Your debts'!$F$13),AL195,0)+IF(AND('Your debts'!$F$14&lt;&gt;"",'Your debts'!$F$13&lt;&gt;"",'Your debts'!$F$14&lt;'Your debts'!$F$13),AV195,0)+IF(AND('Your debts'!$F$15&lt;&gt;"",'Your debts'!$F$13&lt;&gt;"",'Your debts'!$F$15&lt;'Your debts'!$F$13),BA195,0)))))</f>
        <v/>
      </c>
      <c r="AS195" s="33">
        <f>AQ195-AR195</f>
        <v/>
      </c>
      <c r="AT195" s="33">
        <f>IF(AX194&lt;=0,0,ROUND(AX194*(1+'Your debts'!$D$14/1200),2))</f>
        <v/>
      </c>
      <c r="AU195" s="33">
        <f>IF(AT195&lt;=0,0,MIN('Your debts'!$E$14,AT195))</f>
        <v/>
      </c>
      <c r="AV195" s="33">
        <f>AT195-AU195</f>
        <v/>
      </c>
      <c r="AW195" s="33">
        <f>IF('Your debts'!$F$14="",0,MIN(AV195,MAX(0,MAX(0,'Your debts'!$C$19-(G195+L195+Q195+V195+AA195+AF195+AK195+AP195+AU195+AZ195))-(IF(AND('Your debts'!$F$6&lt;&gt;"",'Your debts'!$F$14&lt;&gt;"",'Your debts'!$F$6&lt;'Your debts'!$F$14),H195,0)+IF(AND('Your debts'!$F$7&lt;&gt;"",'Your debts'!$F$14&lt;&gt;"",'Your debts'!$F$7&lt;'Your debts'!$F$14),M195,0)+IF(AND('Your debts'!$F$8&lt;&gt;"",'Your debts'!$F$14&lt;&gt;"",'Your debts'!$F$8&lt;'Your debts'!$F$14),R195,0)+IF(AND('Your debts'!$F$9&lt;&gt;"",'Your debts'!$F$14&lt;&gt;"",'Your debts'!$F$9&lt;'Your debts'!$F$14),W195,0)+IF(AND('Your debts'!$F$10&lt;&gt;"",'Your debts'!$F$14&lt;&gt;"",'Your debts'!$F$10&lt;'Your debts'!$F$14),AB195,0)+IF(AND('Your debts'!$F$11&lt;&gt;"",'Your debts'!$F$14&lt;&gt;"",'Your debts'!$F$11&lt;'Your debts'!$F$14),AG195,0)+IF(AND('Your debts'!$F$12&lt;&gt;"",'Your debts'!$F$14&lt;&gt;"",'Your debts'!$F$12&lt;'Your debts'!$F$14),AL195,0)+IF(AND('Your debts'!$F$13&lt;&gt;"",'Your debts'!$F$14&lt;&gt;"",'Your debts'!$F$13&lt;'Your debts'!$F$14),AQ195,0)+IF(AND('Your debts'!$F$15&lt;&gt;"",'Your debts'!$F$14&lt;&gt;"",'Your debts'!$F$15&lt;'Your debts'!$F$14),BA195,0)))))</f>
        <v/>
      </c>
      <c r="AX195" s="33">
        <f>AV195-AW195</f>
        <v/>
      </c>
      <c r="AY195" s="33">
        <f>IF(BC194&lt;=0,0,ROUND(BC194*(1+'Your debts'!$D$15/1200),2))</f>
        <v/>
      </c>
      <c r="AZ195" s="33">
        <f>IF(AY195&lt;=0,0,MIN('Your debts'!$E$15,AY195))</f>
        <v/>
      </c>
      <c r="BA195" s="33">
        <f>AY195-AZ195</f>
        <v/>
      </c>
      <c r="BB195" s="33">
        <f>IF('Your debts'!$F$15="",0,MIN(BA195,MAX(0,MAX(0,'Your debts'!$C$19-(G195+L195+Q195+V195+AA195+AF195+AK195+AP195+AU195+AZ195))-(IF(AND('Your debts'!$F$6&lt;&gt;"",'Your debts'!$F$15&lt;&gt;"",'Your debts'!$F$6&lt;'Your debts'!$F$15),H195,0)+IF(AND('Your debts'!$F$7&lt;&gt;"",'Your debts'!$F$15&lt;&gt;"",'Your debts'!$F$7&lt;'Your debts'!$F$15),M195,0)+IF(AND('Your debts'!$F$8&lt;&gt;"",'Your debts'!$F$15&lt;&gt;"",'Your debts'!$F$8&lt;'Your debts'!$F$15),R195,0)+IF(AND('Your debts'!$F$9&lt;&gt;"",'Your debts'!$F$15&lt;&gt;"",'Your debts'!$F$9&lt;'Your debts'!$F$15),W195,0)+IF(AND('Your debts'!$F$10&lt;&gt;"",'Your debts'!$F$15&lt;&gt;"",'Your debts'!$F$10&lt;'Your debts'!$F$15),AB195,0)+IF(AND('Your debts'!$F$11&lt;&gt;"",'Your debts'!$F$15&lt;&gt;"",'Your debts'!$F$11&lt;'Your debts'!$F$15),AG195,0)+IF(AND('Your debts'!$F$12&lt;&gt;"",'Your debts'!$F$15&lt;&gt;"",'Your debts'!$F$12&lt;'Your debts'!$F$15),AL195,0)+IF(AND('Your debts'!$F$13&lt;&gt;"",'Your debts'!$F$15&lt;&gt;"",'Your debts'!$F$13&lt;'Your debts'!$F$15),AQ195,0)+IF(AND('Your debts'!$F$14&lt;&gt;"",'Your debts'!$F$15&lt;&gt;"",'Your debts'!$F$14&lt;'Your debts'!$F$15),AV195,0)))))</f>
        <v/>
      </c>
      <c r="BC195" s="33">
        <f>BA195-BB195</f>
        <v/>
      </c>
    </row>
    <row r="196">
      <c r="A196" s="30" t="n">
        <v>181</v>
      </c>
      <c r="B196" s="31">
        <f>EDATE($B$15,181)</f>
        <v/>
      </c>
      <c r="C196" s="32">
        <f>IF(J195&lt;=0,0,F196-J195)+IF(O195&lt;=0,0,K196-O195)+IF(T195&lt;=0,0,P196-T195)+IF(Y195&lt;=0,0,U196-Y195)+IF(AD195&lt;=0,0,Z196-AD195)+IF(AI195&lt;=0,0,AE196-AI195)+IF(AN195&lt;=0,0,AJ196-AN195)+IF(AS195&lt;=0,0,AO196-AS195)+IF(AX195&lt;=0,0,AT196-AX195)+IF(BC195&lt;=0,0,AY196-BC195)</f>
        <v/>
      </c>
      <c r="D196" s="32">
        <f>G196+I196+L196+N196+Q196+S196+V196+X196+AA196+AC196+AF196+AH196+AK196+AM196+AP196+AR196+AU196+AW196+AZ196+BB196</f>
        <v/>
      </c>
      <c r="E196" s="32">
        <f>J196+O196+T196+Y196+AD196+AI196+AN196+AS196+AX196+BC196</f>
        <v/>
      </c>
      <c r="F196" s="33">
        <f>IF(J195&lt;=0,0,ROUND(J195*(1+'Your debts'!$D$6/1200),2))</f>
        <v/>
      </c>
      <c r="G196" s="33">
        <f>IF(F196&lt;=0,0,MIN('Your debts'!$E$6,F196))</f>
        <v/>
      </c>
      <c r="H196" s="33">
        <f>F196-G196</f>
        <v/>
      </c>
      <c r="I196" s="33">
        <f>IF('Your debts'!$F$6="",0,MIN(H196,MAX(0,MAX(0,'Your debts'!$C$19-(G196+L196+Q196+V196+AA196+AF196+AK196+AP196+AU196+AZ196))-(IF(AND('Your debts'!$F$7&lt;&gt;"",'Your debts'!$F$6&lt;&gt;"",'Your debts'!$F$7&lt;'Your debts'!$F$6),M196,0)+IF(AND('Your debts'!$F$8&lt;&gt;"",'Your debts'!$F$6&lt;&gt;"",'Your debts'!$F$8&lt;'Your debts'!$F$6),R196,0)+IF(AND('Your debts'!$F$9&lt;&gt;"",'Your debts'!$F$6&lt;&gt;"",'Your debts'!$F$9&lt;'Your debts'!$F$6),W196,0)+IF(AND('Your debts'!$F$10&lt;&gt;"",'Your debts'!$F$6&lt;&gt;"",'Your debts'!$F$10&lt;'Your debts'!$F$6),AB196,0)+IF(AND('Your debts'!$F$11&lt;&gt;"",'Your debts'!$F$6&lt;&gt;"",'Your debts'!$F$11&lt;'Your debts'!$F$6),AG196,0)+IF(AND('Your debts'!$F$12&lt;&gt;"",'Your debts'!$F$6&lt;&gt;"",'Your debts'!$F$12&lt;'Your debts'!$F$6),AL196,0)+IF(AND('Your debts'!$F$13&lt;&gt;"",'Your debts'!$F$6&lt;&gt;"",'Your debts'!$F$13&lt;'Your debts'!$F$6),AQ196,0)+IF(AND('Your debts'!$F$14&lt;&gt;"",'Your debts'!$F$6&lt;&gt;"",'Your debts'!$F$14&lt;'Your debts'!$F$6),AV196,0)+IF(AND('Your debts'!$F$15&lt;&gt;"",'Your debts'!$F$6&lt;&gt;"",'Your debts'!$F$15&lt;'Your debts'!$F$6),BA196,0)))))</f>
        <v/>
      </c>
      <c r="J196" s="33">
        <f>H196-I196</f>
        <v/>
      </c>
      <c r="K196" s="33">
        <f>IF(O195&lt;=0,0,ROUND(O195*(1+'Your debts'!$D$7/1200),2))</f>
        <v/>
      </c>
      <c r="L196" s="33">
        <f>IF(K196&lt;=0,0,MIN('Your debts'!$E$7,K196))</f>
        <v/>
      </c>
      <c r="M196" s="33">
        <f>K196-L196</f>
        <v/>
      </c>
      <c r="N196" s="33">
        <f>IF('Your debts'!$F$7="",0,MIN(M196,MAX(0,MAX(0,'Your debts'!$C$19-(G196+L196+Q196+V196+AA196+AF196+AK196+AP196+AU196+AZ196))-(IF(AND('Your debts'!$F$6&lt;&gt;"",'Your debts'!$F$7&lt;&gt;"",'Your debts'!$F$6&lt;'Your debts'!$F$7),H196,0)+IF(AND('Your debts'!$F$8&lt;&gt;"",'Your debts'!$F$7&lt;&gt;"",'Your debts'!$F$8&lt;'Your debts'!$F$7),R196,0)+IF(AND('Your debts'!$F$9&lt;&gt;"",'Your debts'!$F$7&lt;&gt;"",'Your debts'!$F$9&lt;'Your debts'!$F$7),W196,0)+IF(AND('Your debts'!$F$10&lt;&gt;"",'Your debts'!$F$7&lt;&gt;"",'Your debts'!$F$10&lt;'Your debts'!$F$7),AB196,0)+IF(AND('Your debts'!$F$11&lt;&gt;"",'Your debts'!$F$7&lt;&gt;"",'Your debts'!$F$11&lt;'Your debts'!$F$7),AG196,0)+IF(AND('Your debts'!$F$12&lt;&gt;"",'Your debts'!$F$7&lt;&gt;"",'Your debts'!$F$12&lt;'Your debts'!$F$7),AL196,0)+IF(AND('Your debts'!$F$13&lt;&gt;"",'Your debts'!$F$7&lt;&gt;"",'Your debts'!$F$13&lt;'Your debts'!$F$7),AQ196,0)+IF(AND('Your debts'!$F$14&lt;&gt;"",'Your debts'!$F$7&lt;&gt;"",'Your debts'!$F$14&lt;'Your debts'!$F$7),AV196,0)+IF(AND('Your debts'!$F$15&lt;&gt;"",'Your debts'!$F$7&lt;&gt;"",'Your debts'!$F$15&lt;'Your debts'!$F$7),BA196,0)))))</f>
        <v/>
      </c>
      <c r="O196" s="33">
        <f>M196-N196</f>
        <v/>
      </c>
      <c r="P196" s="33">
        <f>IF(T195&lt;=0,0,ROUND(T195*(1+'Your debts'!$D$8/1200),2))</f>
        <v/>
      </c>
      <c r="Q196" s="33">
        <f>IF(P196&lt;=0,0,MIN('Your debts'!$E$8,P196))</f>
        <v/>
      </c>
      <c r="R196" s="33">
        <f>P196-Q196</f>
        <v/>
      </c>
      <c r="S196" s="33">
        <f>IF('Your debts'!$F$8="",0,MIN(R196,MAX(0,MAX(0,'Your debts'!$C$19-(G196+L196+Q196+V196+AA196+AF196+AK196+AP196+AU196+AZ196))-(IF(AND('Your debts'!$F$6&lt;&gt;"",'Your debts'!$F$8&lt;&gt;"",'Your debts'!$F$6&lt;'Your debts'!$F$8),H196,0)+IF(AND('Your debts'!$F$7&lt;&gt;"",'Your debts'!$F$8&lt;&gt;"",'Your debts'!$F$7&lt;'Your debts'!$F$8),M196,0)+IF(AND('Your debts'!$F$9&lt;&gt;"",'Your debts'!$F$8&lt;&gt;"",'Your debts'!$F$9&lt;'Your debts'!$F$8),W196,0)+IF(AND('Your debts'!$F$10&lt;&gt;"",'Your debts'!$F$8&lt;&gt;"",'Your debts'!$F$10&lt;'Your debts'!$F$8),AB196,0)+IF(AND('Your debts'!$F$11&lt;&gt;"",'Your debts'!$F$8&lt;&gt;"",'Your debts'!$F$11&lt;'Your debts'!$F$8),AG196,0)+IF(AND('Your debts'!$F$12&lt;&gt;"",'Your debts'!$F$8&lt;&gt;"",'Your debts'!$F$12&lt;'Your debts'!$F$8),AL196,0)+IF(AND('Your debts'!$F$13&lt;&gt;"",'Your debts'!$F$8&lt;&gt;"",'Your debts'!$F$13&lt;'Your debts'!$F$8),AQ196,0)+IF(AND('Your debts'!$F$14&lt;&gt;"",'Your debts'!$F$8&lt;&gt;"",'Your debts'!$F$14&lt;'Your debts'!$F$8),AV196,0)+IF(AND('Your debts'!$F$15&lt;&gt;"",'Your debts'!$F$8&lt;&gt;"",'Your debts'!$F$15&lt;'Your debts'!$F$8),BA196,0)))))</f>
        <v/>
      </c>
      <c r="T196" s="33">
        <f>R196-S196</f>
        <v/>
      </c>
      <c r="U196" s="33">
        <f>IF(Y195&lt;=0,0,ROUND(Y195*(1+'Your debts'!$D$9/1200),2))</f>
        <v/>
      </c>
      <c r="V196" s="33">
        <f>IF(U196&lt;=0,0,MIN('Your debts'!$E$9,U196))</f>
        <v/>
      </c>
      <c r="W196" s="33">
        <f>U196-V196</f>
        <v/>
      </c>
      <c r="X196" s="33">
        <f>IF('Your debts'!$F$9="",0,MIN(W196,MAX(0,MAX(0,'Your debts'!$C$19-(G196+L196+Q196+V196+AA196+AF196+AK196+AP196+AU196+AZ196))-(IF(AND('Your debts'!$F$6&lt;&gt;"",'Your debts'!$F$9&lt;&gt;"",'Your debts'!$F$6&lt;'Your debts'!$F$9),H196,0)+IF(AND('Your debts'!$F$7&lt;&gt;"",'Your debts'!$F$9&lt;&gt;"",'Your debts'!$F$7&lt;'Your debts'!$F$9),M196,0)+IF(AND('Your debts'!$F$8&lt;&gt;"",'Your debts'!$F$9&lt;&gt;"",'Your debts'!$F$8&lt;'Your debts'!$F$9),R196,0)+IF(AND('Your debts'!$F$10&lt;&gt;"",'Your debts'!$F$9&lt;&gt;"",'Your debts'!$F$10&lt;'Your debts'!$F$9),AB196,0)+IF(AND('Your debts'!$F$11&lt;&gt;"",'Your debts'!$F$9&lt;&gt;"",'Your debts'!$F$11&lt;'Your debts'!$F$9),AG196,0)+IF(AND('Your debts'!$F$12&lt;&gt;"",'Your debts'!$F$9&lt;&gt;"",'Your debts'!$F$12&lt;'Your debts'!$F$9),AL196,0)+IF(AND('Your debts'!$F$13&lt;&gt;"",'Your debts'!$F$9&lt;&gt;"",'Your debts'!$F$13&lt;'Your debts'!$F$9),AQ196,0)+IF(AND('Your debts'!$F$14&lt;&gt;"",'Your debts'!$F$9&lt;&gt;"",'Your debts'!$F$14&lt;'Your debts'!$F$9),AV196,0)+IF(AND('Your debts'!$F$15&lt;&gt;"",'Your debts'!$F$9&lt;&gt;"",'Your debts'!$F$15&lt;'Your debts'!$F$9),BA196,0)))))</f>
        <v/>
      </c>
      <c r="Y196" s="33">
        <f>W196-X196</f>
        <v/>
      </c>
      <c r="Z196" s="33">
        <f>IF(AD195&lt;=0,0,ROUND(AD195*(1+'Your debts'!$D$10/1200),2))</f>
        <v/>
      </c>
      <c r="AA196" s="33">
        <f>IF(Z196&lt;=0,0,MIN('Your debts'!$E$10,Z196))</f>
        <v/>
      </c>
      <c r="AB196" s="33">
        <f>Z196-AA196</f>
        <v/>
      </c>
      <c r="AC196" s="33">
        <f>IF('Your debts'!$F$10="",0,MIN(AB196,MAX(0,MAX(0,'Your debts'!$C$19-(G196+L196+Q196+V196+AA196+AF196+AK196+AP196+AU196+AZ196))-(IF(AND('Your debts'!$F$6&lt;&gt;"",'Your debts'!$F$10&lt;&gt;"",'Your debts'!$F$6&lt;'Your debts'!$F$10),H196,0)+IF(AND('Your debts'!$F$7&lt;&gt;"",'Your debts'!$F$10&lt;&gt;"",'Your debts'!$F$7&lt;'Your debts'!$F$10),M196,0)+IF(AND('Your debts'!$F$8&lt;&gt;"",'Your debts'!$F$10&lt;&gt;"",'Your debts'!$F$8&lt;'Your debts'!$F$10),R196,0)+IF(AND('Your debts'!$F$9&lt;&gt;"",'Your debts'!$F$10&lt;&gt;"",'Your debts'!$F$9&lt;'Your debts'!$F$10),W196,0)+IF(AND('Your debts'!$F$11&lt;&gt;"",'Your debts'!$F$10&lt;&gt;"",'Your debts'!$F$11&lt;'Your debts'!$F$10),AG196,0)+IF(AND('Your debts'!$F$12&lt;&gt;"",'Your debts'!$F$10&lt;&gt;"",'Your debts'!$F$12&lt;'Your debts'!$F$10),AL196,0)+IF(AND('Your debts'!$F$13&lt;&gt;"",'Your debts'!$F$10&lt;&gt;"",'Your debts'!$F$13&lt;'Your debts'!$F$10),AQ196,0)+IF(AND('Your debts'!$F$14&lt;&gt;"",'Your debts'!$F$10&lt;&gt;"",'Your debts'!$F$14&lt;'Your debts'!$F$10),AV196,0)+IF(AND('Your debts'!$F$15&lt;&gt;"",'Your debts'!$F$10&lt;&gt;"",'Your debts'!$F$15&lt;'Your debts'!$F$10),BA196,0)))))</f>
        <v/>
      </c>
      <c r="AD196" s="33">
        <f>AB196-AC196</f>
        <v/>
      </c>
      <c r="AE196" s="33">
        <f>IF(AI195&lt;=0,0,ROUND(AI195*(1+'Your debts'!$D$11/1200),2))</f>
        <v/>
      </c>
      <c r="AF196" s="33">
        <f>IF(AE196&lt;=0,0,MIN('Your debts'!$E$11,AE196))</f>
        <v/>
      </c>
      <c r="AG196" s="33">
        <f>AE196-AF196</f>
        <v/>
      </c>
      <c r="AH196" s="33">
        <f>IF('Your debts'!$F$11="",0,MIN(AG196,MAX(0,MAX(0,'Your debts'!$C$19-(G196+L196+Q196+V196+AA196+AF196+AK196+AP196+AU196+AZ196))-(IF(AND('Your debts'!$F$6&lt;&gt;"",'Your debts'!$F$11&lt;&gt;"",'Your debts'!$F$6&lt;'Your debts'!$F$11),H196,0)+IF(AND('Your debts'!$F$7&lt;&gt;"",'Your debts'!$F$11&lt;&gt;"",'Your debts'!$F$7&lt;'Your debts'!$F$11),M196,0)+IF(AND('Your debts'!$F$8&lt;&gt;"",'Your debts'!$F$11&lt;&gt;"",'Your debts'!$F$8&lt;'Your debts'!$F$11),R196,0)+IF(AND('Your debts'!$F$9&lt;&gt;"",'Your debts'!$F$11&lt;&gt;"",'Your debts'!$F$9&lt;'Your debts'!$F$11),W196,0)+IF(AND('Your debts'!$F$10&lt;&gt;"",'Your debts'!$F$11&lt;&gt;"",'Your debts'!$F$10&lt;'Your debts'!$F$11),AB196,0)+IF(AND('Your debts'!$F$12&lt;&gt;"",'Your debts'!$F$11&lt;&gt;"",'Your debts'!$F$12&lt;'Your debts'!$F$11),AL196,0)+IF(AND('Your debts'!$F$13&lt;&gt;"",'Your debts'!$F$11&lt;&gt;"",'Your debts'!$F$13&lt;'Your debts'!$F$11),AQ196,0)+IF(AND('Your debts'!$F$14&lt;&gt;"",'Your debts'!$F$11&lt;&gt;"",'Your debts'!$F$14&lt;'Your debts'!$F$11),AV196,0)+IF(AND('Your debts'!$F$15&lt;&gt;"",'Your debts'!$F$11&lt;&gt;"",'Your debts'!$F$15&lt;'Your debts'!$F$11),BA196,0)))))</f>
        <v/>
      </c>
      <c r="AI196" s="33">
        <f>AG196-AH196</f>
        <v/>
      </c>
      <c r="AJ196" s="33">
        <f>IF(AN195&lt;=0,0,ROUND(AN195*(1+'Your debts'!$D$12/1200),2))</f>
        <v/>
      </c>
      <c r="AK196" s="33">
        <f>IF(AJ196&lt;=0,0,MIN('Your debts'!$E$12,AJ196))</f>
        <v/>
      </c>
      <c r="AL196" s="33">
        <f>AJ196-AK196</f>
        <v/>
      </c>
      <c r="AM196" s="33">
        <f>IF('Your debts'!$F$12="",0,MIN(AL196,MAX(0,MAX(0,'Your debts'!$C$19-(G196+L196+Q196+V196+AA196+AF196+AK196+AP196+AU196+AZ196))-(IF(AND('Your debts'!$F$6&lt;&gt;"",'Your debts'!$F$12&lt;&gt;"",'Your debts'!$F$6&lt;'Your debts'!$F$12),H196,0)+IF(AND('Your debts'!$F$7&lt;&gt;"",'Your debts'!$F$12&lt;&gt;"",'Your debts'!$F$7&lt;'Your debts'!$F$12),M196,0)+IF(AND('Your debts'!$F$8&lt;&gt;"",'Your debts'!$F$12&lt;&gt;"",'Your debts'!$F$8&lt;'Your debts'!$F$12),R196,0)+IF(AND('Your debts'!$F$9&lt;&gt;"",'Your debts'!$F$12&lt;&gt;"",'Your debts'!$F$9&lt;'Your debts'!$F$12),W196,0)+IF(AND('Your debts'!$F$10&lt;&gt;"",'Your debts'!$F$12&lt;&gt;"",'Your debts'!$F$10&lt;'Your debts'!$F$12),AB196,0)+IF(AND('Your debts'!$F$11&lt;&gt;"",'Your debts'!$F$12&lt;&gt;"",'Your debts'!$F$11&lt;'Your debts'!$F$12),AG196,0)+IF(AND('Your debts'!$F$13&lt;&gt;"",'Your debts'!$F$12&lt;&gt;"",'Your debts'!$F$13&lt;'Your debts'!$F$12),AQ196,0)+IF(AND('Your debts'!$F$14&lt;&gt;"",'Your debts'!$F$12&lt;&gt;"",'Your debts'!$F$14&lt;'Your debts'!$F$12),AV196,0)+IF(AND('Your debts'!$F$15&lt;&gt;"",'Your debts'!$F$12&lt;&gt;"",'Your debts'!$F$15&lt;'Your debts'!$F$12),BA196,0)))))</f>
        <v/>
      </c>
      <c r="AN196" s="33">
        <f>AL196-AM196</f>
        <v/>
      </c>
      <c r="AO196" s="33">
        <f>IF(AS195&lt;=0,0,ROUND(AS195*(1+'Your debts'!$D$13/1200),2))</f>
        <v/>
      </c>
      <c r="AP196" s="33">
        <f>IF(AO196&lt;=0,0,MIN('Your debts'!$E$13,AO196))</f>
        <v/>
      </c>
      <c r="AQ196" s="33">
        <f>AO196-AP196</f>
        <v/>
      </c>
      <c r="AR196" s="33">
        <f>IF('Your debts'!$F$13="",0,MIN(AQ196,MAX(0,MAX(0,'Your debts'!$C$19-(G196+L196+Q196+V196+AA196+AF196+AK196+AP196+AU196+AZ196))-(IF(AND('Your debts'!$F$6&lt;&gt;"",'Your debts'!$F$13&lt;&gt;"",'Your debts'!$F$6&lt;'Your debts'!$F$13),H196,0)+IF(AND('Your debts'!$F$7&lt;&gt;"",'Your debts'!$F$13&lt;&gt;"",'Your debts'!$F$7&lt;'Your debts'!$F$13),M196,0)+IF(AND('Your debts'!$F$8&lt;&gt;"",'Your debts'!$F$13&lt;&gt;"",'Your debts'!$F$8&lt;'Your debts'!$F$13),R196,0)+IF(AND('Your debts'!$F$9&lt;&gt;"",'Your debts'!$F$13&lt;&gt;"",'Your debts'!$F$9&lt;'Your debts'!$F$13),W196,0)+IF(AND('Your debts'!$F$10&lt;&gt;"",'Your debts'!$F$13&lt;&gt;"",'Your debts'!$F$10&lt;'Your debts'!$F$13),AB196,0)+IF(AND('Your debts'!$F$11&lt;&gt;"",'Your debts'!$F$13&lt;&gt;"",'Your debts'!$F$11&lt;'Your debts'!$F$13),AG196,0)+IF(AND('Your debts'!$F$12&lt;&gt;"",'Your debts'!$F$13&lt;&gt;"",'Your debts'!$F$12&lt;'Your debts'!$F$13),AL196,0)+IF(AND('Your debts'!$F$14&lt;&gt;"",'Your debts'!$F$13&lt;&gt;"",'Your debts'!$F$14&lt;'Your debts'!$F$13),AV196,0)+IF(AND('Your debts'!$F$15&lt;&gt;"",'Your debts'!$F$13&lt;&gt;"",'Your debts'!$F$15&lt;'Your debts'!$F$13),BA196,0)))))</f>
        <v/>
      </c>
      <c r="AS196" s="33">
        <f>AQ196-AR196</f>
        <v/>
      </c>
      <c r="AT196" s="33">
        <f>IF(AX195&lt;=0,0,ROUND(AX195*(1+'Your debts'!$D$14/1200),2))</f>
        <v/>
      </c>
      <c r="AU196" s="33">
        <f>IF(AT196&lt;=0,0,MIN('Your debts'!$E$14,AT196))</f>
        <v/>
      </c>
      <c r="AV196" s="33">
        <f>AT196-AU196</f>
        <v/>
      </c>
      <c r="AW196" s="33">
        <f>IF('Your debts'!$F$14="",0,MIN(AV196,MAX(0,MAX(0,'Your debts'!$C$19-(G196+L196+Q196+V196+AA196+AF196+AK196+AP196+AU196+AZ196))-(IF(AND('Your debts'!$F$6&lt;&gt;"",'Your debts'!$F$14&lt;&gt;"",'Your debts'!$F$6&lt;'Your debts'!$F$14),H196,0)+IF(AND('Your debts'!$F$7&lt;&gt;"",'Your debts'!$F$14&lt;&gt;"",'Your debts'!$F$7&lt;'Your debts'!$F$14),M196,0)+IF(AND('Your debts'!$F$8&lt;&gt;"",'Your debts'!$F$14&lt;&gt;"",'Your debts'!$F$8&lt;'Your debts'!$F$14),R196,0)+IF(AND('Your debts'!$F$9&lt;&gt;"",'Your debts'!$F$14&lt;&gt;"",'Your debts'!$F$9&lt;'Your debts'!$F$14),W196,0)+IF(AND('Your debts'!$F$10&lt;&gt;"",'Your debts'!$F$14&lt;&gt;"",'Your debts'!$F$10&lt;'Your debts'!$F$14),AB196,0)+IF(AND('Your debts'!$F$11&lt;&gt;"",'Your debts'!$F$14&lt;&gt;"",'Your debts'!$F$11&lt;'Your debts'!$F$14),AG196,0)+IF(AND('Your debts'!$F$12&lt;&gt;"",'Your debts'!$F$14&lt;&gt;"",'Your debts'!$F$12&lt;'Your debts'!$F$14),AL196,0)+IF(AND('Your debts'!$F$13&lt;&gt;"",'Your debts'!$F$14&lt;&gt;"",'Your debts'!$F$13&lt;'Your debts'!$F$14),AQ196,0)+IF(AND('Your debts'!$F$15&lt;&gt;"",'Your debts'!$F$14&lt;&gt;"",'Your debts'!$F$15&lt;'Your debts'!$F$14),BA196,0)))))</f>
        <v/>
      </c>
      <c r="AX196" s="33">
        <f>AV196-AW196</f>
        <v/>
      </c>
      <c r="AY196" s="33">
        <f>IF(BC195&lt;=0,0,ROUND(BC195*(1+'Your debts'!$D$15/1200),2))</f>
        <v/>
      </c>
      <c r="AZ196" s="33">
        <f>IF(AY196&lt;=0,0,MIN('Your debts'!$E$15,AY196))</f>
        <v/>
      </c>
      <c r="BA196" s="33">
        <f>AY196-AZ196</f>
        <v/>
      </c>
      <c r="BB196" s="33">
        <f>IF('Your debts'!$F$15="",0,MIN(BA196,MAX(0,MAX(0,'Your debts'!$C$19-(G196+L196+Q196+V196+AA196+AF196+AK196+AP196+AU196+AZ196))-(IF(AND('Your debts'!$F$6&lt;&gt;"",'Your debts'!$F$15&lt;&gt;"",'Your debts'!$F$6&lt;'Your debts'!$F$15),H196,0)+IF(AND('Your debts'!$F$7&lt;&gt;"",'Your debts'!$F$15&lt;&gt;"",'Your debts'!$F$7&lt;'Your debts'!$F$15),M196,0)+IF(AND('Your debts'!$F$8&lt;&gt;"",'Your debts'!$F$15&lt;&gt;"",'Your debts'!$F$8&lt;'Your debts'!$F$15),R196,0)+IF(AND('Your debts'!$F$9&lt;&gt;"",'Your debts'!$F$15&lt;&gt;"",'Your debts'!$F$9&lt;'Your debts'!$F$15),W196,0)+IF(AND('Your debts'!$F$10&lt;&gt;"",'Your debts'!$F$15&lt;&gt;"",'Your debts'!$F$10&lt;'Your debts'!$F$15),AB196,0)+IF(AND('Your debts'!$F$11&lt;&gt;"",'Your debts'!$F$15&lt;&gt;"",'Your debts'!$F$11&lt;'Your debts'!$F$15),AG196,0)+IF(AND('Your debts'!$F$12&lt;&gt;"",'Your debts'!$F$15&lt;&gt;"",'Your debts'!$F$12&lt;'Your debts'!$F$15),AL196,0)+IF(AND('Your debts'!$F$13&lt;&gt;"",'Your debts'!$F$15&lt;&gt;"",'Your debts'!$F$13&lt;'Your debts'!$F$15),AQ196,0)+IF(AND('Your debts'!$F$14&lt;&gt;"",'Your debts'!$F$15&lt;&gt;"",'Your debts'!$F$14&lt;'Your debts'!$F$15),AV196,0)))))</f>
        <v/>
      </c>
      <c r="BC196" s="33">
        <f>BA196-BB196</f>
        <v/>
      </c>
    </row>
    <row r="197">
      <c r="A197" s="30" t="n">
        <v>182</v>
      </c>
      <c r="B197" s="31">
        <f>EDATE($B$15,182)</f>
        <v/>
      </c>
      <c r="C197" s="32">
        <f>IF(J196&lt;=0,0,F197-J196)+IF(O196&lt;=0,0,K197-O196)+IF(T196&lt;=0,0,P197-T196)+IF(Y196&lt;=0,0,U197-Y196)+IF(AD196&lt;=0,0,Z197-AD196)+IF(AI196&lt;=0,0,AE197-AI196)+IF(AN196&lt;=0,0,AJ197-AN196)+IF(AS196&lt;=0,0,AO197-AS196)+IF(AX196&lt;=0,0,AT197-AX196)+IF(BC196&lt;=0,0,AY197-BC196)</f>
        <v/>
      </c>
      <c r="D197" s="32">
        <f>G197+I197+L197+N197+Q197+S197+V197+X197+AA197+AC197+AF197+AH197+AK197+AM197+AP197+AR197+AU197+AW197+AZ197+BB197</f>
        <v/>
      </c>
      <c r="E197" s="32">
        <f>J197+O197+T197+Y197+AD197+AI197+AN197+AS197+AX197+BC197</f>
        <v/>
      </c>
      <c r="F197" s="33">
        <f>IF(J196&lt;=0,0,ROUND(J196*(1+'Your debts'!$D$6/1200),2))</f>
        <v/>
      </c>
      <c r="G197" s="33">
        <f>IF(F197&lt;=0,0,MIN('Your debts'!$E$6,F197))</f>
        <v/>
      </c>
      <c r="H197" s="33">
        <f>F197-G197</f>
        <v/>
      </c>
      <c r="I197" s="33">
        <f>IF('Your debts'!$F$6="",0,MIN(H197,MAX(0,MAX(0,'Your debts'!$C$19-(G197+L197+Q197+V197+AA197+AF197+AK197+AP197+AU197+AZ197))-(IF(AND('Your debts'!$F$7&lt;&gt;"",'Your debts'!$F$6&lt;&gt;"",'Your debts'!$F$7&lt;'Your debts'!$F$6),M197,0)+IF(AND('Your debts'!$F$8&lt;&gt;"",'Your debts'!$F$6&lt;&gt;"",'Your debts'!$F$8&lt;'Your debts'!$F$6),R197,0)+IF(AND('Your debts'!$F$9&lt;&gt;"",'Your debts'!$F$6&lt;&gt;"",'Your debts'!$F$9&lt;'Your debts'!$F$6),W197,0)+IF(AND('Your debts'!$F$10&lt;&gt;"",'Your debts'!$F$6&lt;&gt;"",'Your debts'!$F$10&lt;'Your debts'!$F$6),AB197,0)+IF(AND('Your debts'!$F$11&lt;&gt;"",'Your debts'!$F$6&lt;&gt;"",'Your debts'!$F$11&lt;'Your debts'!$F$6),AG197,0)+IF(AND('Your debts'!$F$12&lt;&gt;"",'Your debts'!$F$6&lt;&gt;"",'Your debts'!$F$12&lt;'Your debts'!$F$6),AL197,0)+IF(AND('Your debts'!$F$13&lt;&gt;"",'Your debts'!$F$6&lt;&gt;"",'Your debts'!$F$13&lt;'Your debts'!$F$6),AQ197,0)+IF(AND('Your debts'!$F$14&lt;&gt;"",'Your debts'!$F$6&lt;&gt;"",'Your debts'!$F$14&lt;'Your debts'!$F$6),AV197,0)+IF(AND('Your debts'!$F$15&lt;&gt;"",'Your debts'!$F$6&lt;&gt;"",'Your debts'!$F$15&lt;'Your debts'!$F$6),BA197,0)))))</f>
        <v/>
      </c>
      <c r="J197" s="33">
        <f>H197-I197</f>
        <v/>
      </c>
      <c r="K197" s="33">
        <f>IF(O196&lt;=0,0,ROUND(O196*(1+'Your debts'!$D$7/1200),2))</f>
        <v/>
      </c>
      <c r="L197" s="33">
        <f>IF(K197&lt;=0,0,MIN('Your debts'!$E$7,K197))</f>
        <v/>
      </c>
      <c r="M197" s="33">
        <f>K197-L197</f>
        <v/>
      </c>
      <c r="N197" s="33">
        <f>IF('Your debts'!$F$7="",0,MIN(M197,MAX(0,MAX(0,'Your debts'!$C$19-(G197+L197+Q197+V197+AA197+AF197+AK197+AP197+AU197+AZ197))-(IF(AND('Your debts'!$F$6&lt;&gt;"",'Your debts'!$F$7&lt;&gt;"",'Your debts'!$F$6&lt;'Your debts'!$F$7),H197,0)+IF(AND('Your debts'!$F$8&lt;&gt;"",'Your debts'!$F$7&lt;&gt;"",'Your debts'!$F$8&lt;'Your debts'!$F$7),R197,0)+IF(AND('Your debts'!$F$9&lt;&gt;"",'Your debts'!$F$7&lt;&gt;"",'Your debts'!$F$9&lt;'Your debts'!$F$7),W197,0)+IF(AND('Your debts'!$F$10&lt;&gt;"",'Your debts'!$F$7&lt;&gt;"",'Your debts'!$F$10&lt;'Your debts'!$F$7),AB197,0)+IF(AND('Your debts'!$F$11&lt;&gt;"",'Your debts'!$F$7&lt;&gt;"",'Your debts'!$F$11&lt;'Your debts'!$F$7),AG197,0)+IF(AND('Your debts'!$F$12&lt;&gt;"",'Your debts'!$F$7&lt;&gt;"",'Your debts'!$F$12&lt;'Your debts'!$F$7),AL197,0)+IF(AND('Your debts'!$F$13&lt;&gt;"",'Your debts'!$F$7&lt;&gt;"",'Your debts'!$F$13&lt;'Your debts'!$F$7),AQ197,0)+IF(AND('Your debts'!$F$14&lt;&gt;"",'Your debts'!$F$7&lt;&gt;"",'Your debts'!$F$14&lt;'Your debts'!$F$7),AV197,0)+IF(AND('Your debts'!$F$15&lt;&gt;"",'Your debts'!$F$7&lt;&gt;"",'Your debts'!$F$15&lt;'Your debts'!$F$7),BA197,0)))))</f>
        <v/>
      </c>
      <c r="O197" s="33">
        <f>M197-N197</f>
        <v/>
      </c>
      <c r="P197" s="33">
        <f>IF(T196&lt;=0,0,ROUND(T196*(1+'Your debts'!$D$8/1200),2))</f>
        <v/>
      </c>
      <c r="Q197" s="33">
        <f>IF(P197&lt;=0,0,MIN('Your debts'!$E$8,P197))</f>
        <v/>
      </c>
      <c r="R197" s="33">
        <f>P197-Q197</f>
        <v/>
      </c>
      <c r="S197" s="33">
        <f>IF('Your debts'!$F$8="",0,MIN(R197,MAX(0,MAX(0,'Your debts'!$C$19-(G197+L197+Q197+V197+AA197+AF197+AK197+AP197+AU197+AZ197))-(IF(AND('Your debts'!$F$6&lt;&gt;"",'Your debts'!$F$8&lt;&gt;"",'Your debts'!$F$6&lt;'Your debts'!$F$8),H197,0)+IF(AND('Your debts'!$F$7&lt;&gt;"",'Your debts'!$F$8&lt;&gt;"",'Your debts'!$F$7&lt;'Your debts'!$F$8),M197,0)+IF(AND('Your debts'!$F$9&lt;&gt;"",'Your debts'!$F$8&lt;&gt;"",'Your debts'!$F$9&lt;'Your debts'!$F$8),W197,0)+IF(AND('Your debts'!$F$10&lt;&gt;"",'Your debts'!$F$8&lt;&gt;"",'Your debts'!$F$10&lt;'Your debts'!$F$8),AB197,0)+IF(AND('Your debts'!$F$11&lt;&gt;"",'Your debts'!$F$8&lt;&gt;"",'Your debts'!$F$11&lt;'Your debts'!$F$8),AG197,0)+IF(AND('Your debts'!$F$12&lt;&gt;"",'Your debts'!$F$8&lt;&gt;"",'Your debts'!$F$12&lt;'Your debts'!$F$8),AL197,0)+IF(AND('Your debts'!$F$13&lt;&gt;"",'Your debts'!$F$8&lt;&gt;"",'Your debts'!$F$13&lt;'Your debts'!$F$8),AQ197,0)+IF(AND('Your debts'!$F$14&lt;&gt;"",'Your debts'!$F$8&lt;&gt;"",'Your debts'!$F$14&lt;'Your debts'!$F$8),AV197,0)+IF(AND('Your debts'!$F$15&lt;&gt;"",'Your debts'!$F$8&lt;&gt;"",'Your debts'!$F$15&lt;'Your debts'!$F$8),BA197,0)))))</f>
        <v/>
      </c>
      <c r="T197" s="33">
        <f>R197-S197</f>
        <v/>
      </c>
      <c r="U197" s="33">
        <f>IF(Y196&lt;=0,0,ROUND(Y196*(1+'Your debts'!$D$9/1200),2))</f>
        <v/>
      </c>
      <c r="V197" s="33">
        <f>IF(U197&lt;=0,0,MIN('Your debts'!$E$9,U197))</f>
        <v/>
      </c>
      <c r="W197" s="33">
        <f>U197-V197</f>
        <v/>
      </c>
      <c r="X197" s="33">
        <f>IF('Your debts'!$F$9="",0,MIN(W197,MAX(0,MAX(0,'Your debts'!$C$19-(G197+L197+Q197+V197+AA197+AF197+AK197+AP197+AU197+AZ197))-(IF(AND('Your debts'!$F$6&lt;&gt;"",'Your debts'!$F$9&lt;&gt;"",'Your debts'!$F$6&lt;'Your debts'!$F$9),H197,0)+IF(AND('Your debts'!$F$7&lt;&gt;"",'Your debts'!$F$9&lt;&gt;"",'Your debts'!$F$7&lt;'Your debts'!$F$9),M197,0)+IF(AND('Your debts'!$F$8&lt;&gt;"",'Your debts'!$F$9&lt;&gt;"",'Your debts'!$F$8&lt;'Your debts'!$F$9),R197,0)+IF(AND('Your debts'!$F$10&lt;&gt;"",'Your debts'!$F$9&lt;&gt;"",'Your debts'!$F$10&lt;'Your debts'!$F$9),AB197,0)+IF(AND('Your debts'!$F$11&lt;&gt;"",'Your debts'!$F$9&lt;&gt;"",'Your debts'!$F$11&lt;'Your debts'!$F$9),AG197,0)+IF(AND('Your debts'!$F$12&lt;&gt;"",'Your debts'!$F$9&lt;&gt;"",'Your debts'!$F$12&lt;'Your debts'!$F$9),AL197,0)+IF(AND('Your debts'!$F$13&lt;&gt;"",'Your debts'!$F$9&lt;&gt;"",'Your debts'!$F$13&lt;'Your debts'!$F$9),AQ197,0)+IF(AND('Your debts'!$F$14&lt;&gt;"",'Your debts'!$F$9&lt;&gt;"",'Your debts'!$F$14&lt;'Your debts'!$F$9),AV197,0)+IF(AND('Your debts'!$F$15&lt;&gt;"",'Your debts'!$F$9&lt;&gt;"",'Your debts'!$F$15&lt;'Your debts'!$F$9),BA197,0)))))</f>
        <v/>
      </c>
      <c r="Y197" s="33">
        <f>W197-X197</f>
        <v/>
      </c>
      <c r="Z197" s="33">
        <f>IF(AD196&lt;=0,0,ROUND(AD196*(1+'Your debts'!$D$10/1200),2))</f>
        <v/>
      </c>
      <c r="AA197" s="33">
        <f>IF(Z197&lt;=0,0,MIN('Your debts'!$E$10,Z197))</f>
        <v/>
      </c>
      <c r="AB197" s="33">
        <f>Z197-AA197</f>
        <v/>
      </c>
      <c r="AC197" s="33">
        <f>IF('Your debts'!$F$10="",0,MIN(AB197,MAX(0,MAX(0,'Your debts'!$C$19-(G197+L197+Q197+V197+AA197+AF197+AK197+AP197+AU197+AZ197))-(IF(AND('Your debts'!$F$6&lt;&gt;"",'Your debts'!$F$10&lt;&gt;"",'Your debts'!$F$6&lt;'Your debts'!$F$10),H197,0)+IF(AND('Your debts'!$F$7&lt;&gt;"",'Your debts'!$F$10&lt;&gt;"",'Your debts'!$F$7&lt;'Your debts'!$F$10),M197,0)+IF(AND('Your debts'!$F$8&lt;&gt;"",'Your debts'!$F$10&lt;&gt;"",'Your debts'!$F$8&lt;'Your debts'!$F$10),R197,0)+IF(AND('Your debts'!$F$9&lt;&gt;"",'Your debts'!$F$10&lt;&gt;"",'Your debts'!$F$9&lt;'Your debts'!$F$10),W197,0)+IF(AND('Your debts'!$F$11&lt;&gt;"",'Your debts'!$F$10&lt;&gt;"",'Your debts'!$F$11&lt;'Your debts'!$F$10),AG197,0)+IF(AND('Your debts'!$F$12&lt;&gt;"",'Your debts'!$F$10&lt;&gt;"",'Your debts'!$F$12&lt;'Your debts'!$F$10),AL197,0)+IF(AND('Your debts'!$F$13&lt;&gt;"",'Your debts'!$F$10&lt;&gt;"",'Your debts'!$F$13&lt;'Your debts'!$F$10),AQ197,0)+IF(AND('Your debts'!$F$14&lt;&gt;"",'Your debts'!$F$10&lt;&gt;"",'Your debts'!$F$14&lt;'Your debts'!$F$10),AV197,0)+IF(AND('Your debts'!$F$15&lt;&gt;"",'Your debts'!$F$10&lt;&gt;"",'Your debts'!$F$15&lt;'Your debts'!$F$10),BA197,0)))))</f>
        <v/>
      </c>
      <c r="AD197" s="33">
        <f>AB197-AC197</f>
        <v/>
      </c>
      <c r="AE197" s="33">
        <f>IF(AI196&lt;=0,0,ROUND(AI196*(1+'Your debts'!$D$11/1200),2))</f>
        <v/>
      </c>
      <c r="AF197" s="33">
        <f>IF(AE197&lt;=0,0,MIN('Your debts'!$E$11,AE197))</f>
        <v/>
      </c>
      <c r="AG197" s="33">
        <f>AE197-AF197</f>
        <v/>
      </c>
      <c r="AH197" s="33">
        <f>IF('Your debts'!$F$11="",0,MIN(AG197,MAX(0,MAX(0,'Your debts'!$C$19-(G197+L197+Q197+V197+AA197+AF197+AK197+AP197+AU197+AZ197))-(IF(AND('Your debts'!$F$6&lt;&gt;"",'Your debts'!$F$11&lt;&gt;"",'Your debts'!$F$6&lt;'Your debts'!$F$11),H197,0)+IF(AND('Your debts'!$F$7&lt;&gt;"",'Your debts'!$F$11&lt;&gt;"",'Your debts'!$F$7&lt;'Your debts'!$F$11),M197,0)+IF(AND('Your debts'!$F$8&lt;&gt;"",'Your debts'!$F$11&lt;&gt;"",'Your debts'!$F$8&lt;'Your debts'!$F$11),R197,0)+IF(AND('Your debts'!$F$9&lt;&gt;"",'Your debts'!$F$11&lt;&gt;"",'Your debts'!$F$9&lt;'Your debts'!$F$11),W197,0)+IF(AND('Your debts'!$F$10&lt;&gt;"",'Your debts'!$F$11&lt;&gt;"",'Your debts'!$F$10&lt;'Your debts'!$F$11),AB197,0)+IF(AND('Your debts'!$F$12&lt;&gt;"",'Your debts'!$F$11&lt;&gt;"",'Your debts'!$F$12&lt;'Your debts'!$F$11),AL197,0)+IF(AND('Your debts'!$F$13&lt;&gt;"",'Your debts'!$F$11&lt;&gt;"",'Your debts'!$F$13&lt;'Your debts'!$F$11),AQ197,0)+IF(AND('Your debts'!$F$14&lt;&gt;"",'Your debts'!$F$11&lt;&gt;"",'Your debts'!$F$14&lt;'Your debts'!$F$11),AV197,0)+IF(AND('Your debts'!$F$15&lt;&gt;"",'Your debts'!$F$11&lt;&gt;"",'Your debts'!$F$15&lt;'Your debts'!$F$11),BA197,0)))))</f>
        <v/>
      </c>
      <c r="AI197" s="33">
        <f>AG197-AH197</f>
        <v/>
      </c>
      <c r="AJ197" s="33">
        <f>IF(AN196&lt;=0,0,ROUND(AN196*(1+'Your debts'!$D$12/1200),2))</f>
        <v/>
      </c>
      <c r="AK197" s="33">
        <f>IF(AJ197&lt;=0,0,MIN('Your debts'!$E$12,AJ197))</f>
        <v/>
      </c>
      <c r="AL197" s="33">
        <f>AJ197-AK197</f>
        <v/>
      </c>
      <c r="AM197" s="33">
        <f>IF('Your debts'!$F$12="",0,MIN(AL197,MAX(0,MAX(0,'Your debts'!$C$19-(G197+L197+Q197+V197+AA197+AF197+AK197+AP197+AU197+AZ197))-(IF(AND('Your debts'!$F$6&lt;&gt;"",'Your debts'!$F$12&lt;&gt;"",'Your debts'!$F$6&lt;'Your debts'!$F$12),H197,0)+IF(AND('Your debts'!$F$7&lt;&gt;"",'Your debts'!$F$12&lt;&gt;"",'Your debts'!$F$7&lt;'Your debts'!$F$12),M197,0)+IF(AND('Your debts'!$F$8&lt;&gt;"",'Your debts'!$F$12&lt;&gt;"",'Your debts'!$F$8&lt;'Your debts'!$F$12),R197,0)+IF(AND('Your debts'!$F$9&lt;&gt;"",'Your debts'!$F$12&lt;&gt;"",'Your debts'!$F$9&lt;'Your debts'!$F$12),W197,0)+IF(AND('Your debts'!$F$10&lt;&gt;"",'Your debts'!$F$12&lt;&gt;"",'Your debts'!$F$10&lt;'Your debts'!$F$12),AB197,0)+IF(AND('Your debts'!$F$11&lt;&gt;"",'Your debts'!$F$12&lt;&gt;"",'Your debts'!$F$11&lt;'Your debts'!$F$12),AG197,0)+IF(AND('Your debts'!$F$13&lt;&gt;"",'Your debts'!$F$12&lt;&gt;"",'Your debts'!$F$13&lt;'Your debts'!$F$12),AQ197,0)+IF(AND('Your debts'!$F$14&lt;&gt;"",'Your debts'!$F$12&lt;&gt;"",'Your debts'!$F$14&lt;'Your debts'!$F$12),AV197,0)+IF(AND('Your debts'!$F$15&lt;&gt;"",'Your debts'!$F$12&lt;&gt;"",'Your debts'!$F$15&lt;'Your debts'!$F$12),BA197,0)))))</f>
        <v/>
      </c>
      <c r="AN197" s="33">
        <f>AL197-AM197</f>
        <v/>
      </c>
      <c r="AO197" s="33">
        <f>IF(AS196&lt;=0,0,ROUND(AS196*(1+'Your debts'!$D$13/1200),2))</f>
        <v/>
      </c>
      <c r="AP197" s="33">
        <f>IF(AO197&lt;=0,0,MIN('Your debts'!$E$13,AO197))</f>
        <v/>
      </c>
      <c r="AQ197" s="33">
        <f>AO197-AP197</f>
        <v/>
      </c>
      <c r="AR197" s="33">
        <f>IF('Your debts'!$F$13="",0,MIN(AQ197,MAX(0,MAX(0,'Your debts'!$C$19-(G197+L197+Q197+V197+AA197+AF197+AK197+AP197+AU197+AZ197))-(IF(AND('Your debts'!$F$6&lt;&gt;"",'Your debts'!$F$13&lt;&gt;"",'Your debts'!$F$6&lt;'Your debts'!$F$13),H197,0)+IF(AND('Your debts'!$F$7&lt;&gt;"",'Your debts'!$F$13&lt;&gt;"",'Your debts'!$F$7&lt;'Your debts'!$F$13),M197,0)+IF(AND('Your debts'!$F$8&lt;&gt;"",'Your debts'!$F$13&lt;&gt;"",'Your debts'!$F$8&lt;'Your debts'!$F$13),R197,0)+IF(AND('Your debts'!$F$9&lt;&gt;"",'Your debts'!$F$13&lt;&gt;"",'Your debts'!$F$9&lt;'Your debts'!$F$13),W197,0)+IF(AND('Your debts'!$F$10&lt;&gt;"",'Your debts'!$F$13&lt;&gt;"",'Your debts'!$F$10&lt;'Your debts'!$F$13),AB197,0)+IF(AND('Your debts'!$F$11&lt;&gt;"",'Your debts'!$F$13&lt;&gt;"",'Your debts'!$F$11&lt;'Your debts'!$F$13),AG197,0)+IF(AND('Your debts'!$F$12&lt;&gt;"",'Your debts'!$F$13&lt;&gt;"",'Your debts'!$F$12&lt;'Your debts'!$F$13),AL197,0)+IF(AND('Your debts'!$F$14&lt;&gt;"",'Your debts'!$F$13&lt;&gt;"",'Your debts'!$F$14&lt;'Your debts'!$F$13),AV197,0)+IF(AND('Your debts'!$F$15&lt;&gt;"",'Your debts'!$F$13&lt;&gt;"",'Your debts'!$F$15&lt;'Your debts'!$F$13),BA197,0)))))</f>
        <v/>
      </c>
      <c r="AS197" s="33">
        <f>AQ197-AR197</f>
        <v/>
      </c>
      <c r="AT197" s="33">
        <f>IF(AX196&lt;=0,0,ROUND(AX196*(1+'Your debts'!$D$14/1200),2))</f>
        <v/>
      </c>
      <c r="AU197" s="33">
        <f>IF(AT197&lt;=0,0,MIN('Your debts'!$E$14,AT197))</f>
        <v/>
      </c>
      <c r="AV197" s="33">
        <f>AT197-AU197</f>
        <v/>
      </c>
      <c r="AW197" s="33">
        <f>IF('Your debts'!$F$14="",0,MIN(AV197,MAX(0,MAX(0,'Your debts'!$C$19-(G197+L197+Q197+V197+AA197+AF197+AK197+AP197+AU197+AZ197))-(IF(AND('Your debts'!$F$6&lt;&gt;"",'Your debts'!$F$14&lt;&gt;"",'Your debts'!$F$6&lt;'Your debts'!$F$14),H197,0)+IF(AND('Your debts'!$F$7&lt;&gt;"",'Your debts'!$F$14&lt;&gt;"",'Your debts'!$F$7&lt;'Your debts'!$F$14),M197,0)+IF(AND('Your debts'!$F$8&lt;&gt;"",'Your debts'!$F$14&lt;&gt;"",'Your debts'!$F$8&lt;'Your debts'!$F$14),R197,0)+IF(AND('Your debts'!$F$9&lt;&gt;"",'Your debts'!$F$14&lt;&gt;"",'Your debts'!$F$9&lt;'Your debts'!$F$14),W197,0)+IF(AND('Your debts'!$F$10&lt;&gt;"",'Your debts'!$F$14&lt;&gt;"",'Your debts'!$F$10&lt;'Your debts'!$F$14),AB197,0)+IF(AND('Your debts'!$F$11&lt;&gt;"",'Your debts'!$F$14&lt;&gt;"",'Your debts'!$F$11&lt;'Your debts'!$F$14),AG197,0)+IF(AND('Your debts'!$F$12&lt;&gt;"",'Your debts'!$F$14&lt;&gt;"",'Your debts'!$F$12&lt;'Your debts'!$F$14),AL197,0)+IF(AND('Your debts'!$F$13&lt;&gt;"",'Your debts'!$F$14&lt;&gt;"",'Your debts'!$F$13&lt;'Your debts'!$F$14),AQ197,0)+IF(AND('Your debts'!$F$15&lt;&gt;"",'Your debts'!$F$14&lt;&gt;"",'Your debts'!$F$15&lt;'Your debts'!$F$14),BA197,0)))))</f>
        <v/>
      </c>
      <c r="AX197" s="33">
        <f>AV197-AW197</f>
        <v/>
      </c>
      <c r="AY197" s="33">
        <f>IF(BC196&lt;=0,0,ROUND(BC196*(1+'Your debts'!$D$15/1200),2))</f>
        <v/>
      </c>
      <c r="AZ197" s="33">
        <f>IF(AY197&lt;=0,0,MIN('Your debts'!$E$15,AY197))</f>
        <v/>
      </c>
      <c r="BA197" s="33">
        <f>AY197-AZ197</f>
        <v/>
      </c>
      <c r="BB197" s="33">
        <f>IF('Your debts'!$F$15="",0,MIN(BA197,MAX(0,MAX(0,'Your debts'!$C$19-(G197+L197+Q197+V197+AA197+AF197+AK197+AP197+AU197+AZ197))-(IF(AND('Your debts'!$F$6&lt;&gt;"",'Your debts'!$F$15&lt;&gt;"",'Your debts'!$F$6&lt;'Your debts'!$F$15),H197,0)+IF(AND('Your debts'!$F$7&lt;&gt;"",'Your debts'!$F$15&lt;&gt;"",'Your debts'!$F$7&lt;'Your debts'!$F$15),M197,0)+IF(AND('Your debts'!$F$8&lt;&gt;"",'Your debts'!$F$15&lt;&gt;"",'Your debts'!$F$8&lt;'Your debts'!$F$15),R197,0)+IF(AND('Your debts'!$F$9&lt;&gt;"",'Your debts'!$F$15&lt;&gt;"",'Your debts'!$F$9&lt;'Your debts'!$F$15),W197,0)+IF(AND('Your debts'!$F$10&lt;&gt;"",'Your debts'!$F$15&lt;&gt;"",'Your debts'!$F$10&lt;'Your debts'!$F$15),AB197,0)+IF(AND('Your debts'!$F$11&lt;&gt;"",'Your debts'!$F$15&lt;&gt;"",'Your debts'!$F$11&lt;'Your debts'!$F$15),AG197,0)+IF(AND('Your debts'!$F$12&lt;&gt;"",'Your debts'!$F$15&lt;&gt;"",'Your debts'!$F$12&lt;'Your debts'!$F$15),AL197,0)+IF(AND('Your debts'!$F$13&lt;&gt;"",'Your debts'!$F$15&lt;&gt;"",'Your debts'!$F$13&lt;'Your debts'!$F$15),AQ197,0)+IF(AND('Your debts'!$F$14&lt;&gt;"",'Your debts'!$F$15&lt;&gt;"",'Your debts'!$F$14&lt;'Your debts'!$F$15),AV197,0)))))</f>
        <v/>
      </c>
      <c r="BC197" s="33">
        <f>BA197-BB197</f>
        <v/>
      </c>
    </row>
    <row r="198">
      <c r="A198" s="30" t="n">
        <v>183</v>
      </c>
      <c r="B198" s="31">
        <f>EDATE($B$15,183)</f>
        <v/>
      </c>
      <c r="C198" s="32">
        <f>IF(J197&lt;=0,0,F198-J197)+IF(O197&lt;=0,0,K198-O197)+IF(T197&lt;=0,0,P198-T197)+IF(Y197&lt;=0,0,U198-Y197)+IF(AD197&lt;=0,0,Z198-AD197)+IF(AI197&lt;=0,0,AE198-AI197)+IF(AN197&lt;=0,0,AJ198-AN197)+IF(AS197&lt;=0,0,AO198-AS197)+IF(AX197&lt;=0,0,AT198-AX197)+IF(BC197&lt;=0,0,AY198-BC197)</f>
        <v/>
      </c>
      <c r="D198" s="32">
        <f>G198+I198+L198+N198+Q198+S198+V198+X198+AA198+AC198+AF198+AH198+AK198+AM198+AP198+AR198+AU198+AW198+AZ198+BB198</f>
        <v/>
      </c>
      <c r="E198" s="32">
        <f>J198+O198+T198+Y198+AD198+AI198+AN198+AS198+AX198+BC198</f>
        <v/>
      </c>
      <c r="F198" s="33">
        <f>IF(J197&lt;=0,0,ROUND(J197*(1+'Your debts'!$D$6/1200),2))</f>
        <v/>
      </c>
      <c r="G198" s="33">
        <f>IF(F198&lt;=0,0,MIN('Your debts'!$E$6,F198))</f>
        <v/>
      </c>
      <c r="H198" s="33">
        <f>F198-G198</f>
        <v/>
      </c>
      <c r="I198" s="33">
        <f>IF('Your debts'!$F$6="",0,MIN(H198,MAX(0,MAX(0,'Your debts'!$C$19-(G198+L198+Q198+V198+AA198+AF198+AK198+AP198+AU198+AZ198))-(IF(AND('Your debts'!$F$7&lt;&gt;"",'Your debts'!$F$6&lt;&gt;"",'Your debts'!$F$7&lt;'Your debts'!$F$6),M198,0)+IF(AND('Your debts'!$F$8&lt;&gt;"",'Your debts'!$F$6&lt;&gt;"",'Your debts'!$F$8&lt;'Your debts'!$F$6),R198,0)+IF(AND('Your debts'!$F$9&lt;&gt;"",'Your debts'!$F$6&lt;&gt;"",'Your debts'!$F$9&lt;'Your debts'!$F$6),W198,0)+IF(AND('Your debts'!$F$10&lt;&gt;"",'Your debts'!$F$6&lt;&gt;"",'Your debts'!$F$10&lt;'Your debts'!$F$6),AB198,0)+IF(AND('Your debts'!$F$11&lt;&gt;"",'Your debts'!$F$6&lt;&gt;"",'Your debts'!$F$11&lt;'Your debts'!$F$6),AG198,0)+IF(AND('Your debts'!$F$12&lt;&gt;"",'Your debts'!$F$6&lt;&gt;"",'Your debts'!$F$12&lt;'Your debts'!$F$6),AL198,0)+IF(AND('Your debts'!$F$13&lt;&gt;"",'Your debts'!$F$6&lt;&gt;"",'Your debts'!$F$13&lt;'Your debts'!$F$6),AQ198,0)+IF(AND('Your debts'!$F$14&lt;&gt;"",'Your debts'!$F$6&lt;&gt;"",'Your debts'!$F$14&lt;'Your debts'!$F$6),AV198,0)+IF(AND('Your debts'!$F$15&lt;&gt;"",'Your debts'!$F$6&lt;&gt;"",'Your debts'!$F$15&lt;'Your debts'!$F$6),BA198,0)))))</f>
        <v/>
      </c>
      <c r="J198" s="33">
        <f>H198-I198</f>
        <v/>
      </c>
      <c r="K198" s="33">
        <f>IF(O197&lt;=0,0,ROUND(O197*(1+'Your debts'!$D$7/1200),2))</f>
        <v/>
      </c>
      <c r="L198" s="33">
        <f>IF(K198&lt;=0,0,MIN('Your debts'!$E$7,K198))</f>
        <v/>
      </c>
      <c r="M198" s="33">
        <f>K198-L198</f>
        <v/>
      </c>
      <c r="N198" s="33">
        <f>IF('Your debts'!$F$7="",0,MIN(M198,MAX(0,MAX(0,'Your debts'!$C$19-(G198+L198+Q198+V198+AA198+AF198+AK198+AP198+AU198+AZ198))-(IF(AND('Your debts'!$F$6&lt;&gt;"",'Your debts'!$F$7&lt;&gt;"",'Your debts'!$F$6&lt;'Your debts'!$F$7),H198,0)+IF(AND('Your debts'!$F$8&lt;&gt;"",'Your debts'!$F$7&lt;&gt;"",'Your debts'!$F$8&lt;'Your debts'!$F$7),R198,0)+IF(AND('Your debts'!$F$9&lt;&gt;"",'Your debts'!$F$7&lt;&gt;"",'Your debts'!$F$9&lt;'Your debts'!$F$7),W198,0)+IF(AND('Your debts'!$F$10&lt;&gt;"",'Your debts'!$F$7&lt;&gt;"",'Your debts'!$F$10&lt;'Your debts'!$F$7),AB198,0)+IF(AND('Your debts'!$F$11&lt;&gt;"",'Your debts'!$F$7&lt;&gt;"",'Your debts'!$F$11&lt;'Your debts'!$F$7),AG198,0)+IF(AND('Your debts'!$F$12&lt;&gt;"",'Your debts'!$F$7&lt;&gt;"",'Your debts'!$F$12&lt;'Your debts'!$F$7),AL198,0)+IF(AND('Your debts'!$F$13&lt;&gt;"",'Your debts'!$F$7&lt;&gt;"",'Your debts'!$F$13&lt;'Your debts'!$F$7),AQ198,0)+IF(AND('Your debts'!$F$14&lt;&gt;"",'Your debts'!$F$7&lt;&gt;"",'Your debts'!$F$14&lt;'Your debts'!$F$7),AV198,0)+IF(AND('Your debts'!$F$15&lt;&gt;"",'Your debts'!$F$7&lt;&gt;"",'Your debts'!$F$15&lt;'Your debts'!$F$7),BA198,0)))))</f>
        <v/>
      </c>
      <c r="O198" s="33">
        <f>M198-N198</f>
        <v/>
      </c>
      <c r="P198" s="33">
        <f>IF(T197&lt;=0,0,ROUND(T197*(1+'Your debts'!$D$8/1200),2))</f>
        <v/>
      </c>
      <c r="Q198" s="33">
        <f>IF(P198&lt;=0,0,MIN('Your debts'!$E$8,P198))</f>
        <v/>
      </c>
      <c r="R198" s="33">
        <f>P198-Q198</f>
        <v/>
      </c>
      <c r="S198" s="33">
        <f>IF('Your debts'!$F$8="",0,MIN(R198,MAX(0,MAX(0,'Your debts'!$C$19-(G198+L198+Q198+V198+AA198+AF198+AK198+AP198+AU198+AZ198))-(IF(AND('Your debts'!$F$6&lt;&gt;"",'Your debts'!$F$8&lt;&gt;"",'Your debts'!$F$6&lt;'Your debts'!$F$8),H198,0)+IF(AND('Your debts'!$F$7&lt;&gt;"",'Your debts'!$F$8&lt;&gt;"",'Your debts'!$F$7&lt;'Your debts'!$F$8),M198,0)+IF(AND('Your debts'!$F$9&lt;&gt;"",'Your debts'!$F$8&lt;&gt;"",'Your debts'!$F$9&lt;'Your debts'!$F$8),W198,0)+IF(AND('Your debts'!$F$10&lt;&gt;"",'Your debts'!$F$8&lt;&gt;"",'Your debts'!$F$10&lt;'Your debts'!$F$8),AB198,0)+IF(AND('Your debts'!$F$11&lt;&gt;"",'Your debts'!$F$8&lt;&gt;"",'Your debts'!$F$11&lt;'Your debts'!$F$8),AG198,0)+IF(AND('Your debts'!$F$12&lt;&gt;"",'Your debts'!$F$8&lt;&gt;"",'Your debts'!$F$12&lt;'Your debts'!$F$8),AL198,0)+IF(AND('Your debts'!$F$13&lt;&gt;"",'Your debts'!$F$8&lt;&gt;"",'Your debts'!$F$13&lt;'Your debts'!$F$8),AQ198,0)+IF(AND('Your debts'!$F$14&lt;&gt;"",'Your debts'!$F$8&lt;&gt;"",'Your debts'!$F$14&lt;'Your debts'!$F$8),AV198,0)+IF(AND('Your debts'!$F$15&lt;&gt;"",'Your debts'!$F$8&lt;&gt;"",'Your debts'!$F$15&lt;'Your debts'!$F$8),BA198,0)))))</f>
        <v/>
      </c>
      <c r="T198" s="33">
        <f>R198-S198</f>
        <v/>
      </c>
      <c r="U198" s="33">
        <f>IF(Y197&lt;=0,0,ROUND(Y197*(1+'Your debts'!$D$9/1200),2))</f>
        <v/>
      </c>
      <c r="V198" s="33">
        <f>IF(U198&lt;=0,0,MIN('Your debts'!$E$9,U198))</f>
        <v/>
      </c>
      <c r="W198" s="33">
        <f>U198-V198</f>
        <v/>
      </c>
      <c r="X198" s="33">
        <f>IF('Your debts'!$F$9="",0,MIN(W198,MAX(0,MAX(0,'Your debts'!$C$19-(G198+L198+Q198+V198+AA198+AF198+AK198+AP198+AU198+AZ198))-(IF(AND('Your debts'!$F$6&lt;&gt;"",'Your debts'!$F$9&lt;&gt;"",'Your debts'!$F$6&lt;'Your debts'!$F$9),H198,0)+IF(AND('Your debts'!$F$7&lt;&gt;"",'Your debts'!$F$9&lt;&gt;"",'Your debts'!$F$7&lt;'Your debts'!$F$9),M198,0)+IF(AND('Your debts'!$F$8&lt;&gt;"",'Your debts'!$F$9&lt;&gt;"",'Your debts'!$F$8&lt;'Your debts'!$F$9),R198,0)+IF(AND('Your debts'!$F$10&lt;&gt;"",'Your debts'!$F$9&lt;&gt;"",'Your debts'!$F$10&lt;'Your debts'!$F$9),AB198,0)+IF(AND('Your debts'!$F$11&lt;&gt;"",'Your debts'!$F$9&lt;&gt;"",'Your debts'!$F$11&lt;'Your debts'!$F$9),AG198,0)+IF(AND('Your debts'!$F$12&lt;&gt;"",'Your debts'!$F$9&lt;&gt;"",'Your debts'!$F$12&lt;'Your debts'!$F$9),AL198,0)+IF(AND('Your debts'!$F$13&lt;&gt;"",'Your debts'!$F$9&lt;&gt;"",'Your debts'!$F$13&lt;'Your debts'!$F$9),AQ198,0)+IF(AND('Your debts'!$F$14&lt;&gt;"",'Your debts'!$F$9&lt;&gt;"",'Your debts'!$F$14&lt;'Your debts'!$F$9),AV198,0)+IF(AND('Your debts'!$F$15&lt;&gt;"",'Your debts'!$F$9&lt;&gt;"",'Your debts'!$F$15&lt;'Your debts'!$F$9),BA198,0)))))</f>
        <v/>
      </c>
      <c r="Y198" s="33">
        <f>W198-X198</f>
        <v/>
      </c>
      <c r="Z198" s="33">
        <f>IF(AD197&lt;=0,0,ROUND(AD197*(1+'Your debts'!$D$10/1200),2))</f>
        <v/>
      </c>
      <c r="AA198" s="33">
        <f>IF(Z198&lt;=0,0,MIN('Your debts'!$E$10,Z198))</f>
        <v/>
      </c>
      <c r="AB198" s="33">
        <f>Z198-AA198</f>
        <v/>
      </c>
      <c r="AC198" s="33">
        <f>IF('Your debts'!$F$10="",0,MIN(AB198,MAX(0,MAX(0,'Your debts'!$C$19-(G198+L198+Q198+V198+AA198+AF198+AK198+AP198+AU198+AZ198))-(IF(AND('Your debts'!$F$6&lt;&gt;"",'Your debts'!$F$10&lt;&gt;"",'Your debts'!$F$6&lt;'Your debts'!$F$10),H198,0)+IF(AND('Your debts'!$F$7&lt;&gt;"",'Your debts'!$F$10&lt;&gt;"",'Your debts'!$F$7&lt;'Your debts'!$F$10),M198,0)+IF(AND('Your debts'!$F$8&lt;&gt;"",'Your debts'!$F$10&lt;&gt;"",'Your debts'!$F$8&lt;'Your debts'!$F$10),R198,0)+IF(AND('Your debts'!$F$9&lt;&gt;"",'Your debts'!$F$10&lt;&gt;"",'Your debts'!$F$9&lt;'Your debts'!$F$10),W198,0)+IF(AND('Your debts'!$F$11&lt;&gt;"",'Your debts'!$F$10&lt;&gt;"",'Your debts'!$F$11&lt;'Your debts'!$F$10),AG198,0)+IF(AND('Your debts'!$F$12&lt;&gt;"",'Your debts'!$F$10&lt;&gt;"",'Your debts'!$F$12&lt;'Your debts'!$F$10),AL198,0)+IF(AND('Your debts'!$F$13&lt;&gt;"",'Your debts'!$F$10&lt;&gt;"",'Your debts'!$F$13&lt;'Your debts'!$F$10),AQ198,0)+IF(AND('Your debts'!$F$14&lt;&gt;"",'Your debts'!$F$10&lt;&gt;"",'Your debts'!$F$14&lt;'Your debts'!$F$10),AV198,0)+IF(AND('Your debts'!$F$15&lt;&gt;"",'Your debts'!$F$10&lt;&gt;"",'Your debts'!$F$15&lt;'Your debts'!$F$10),BA198,0)))))</f>
        <v/>
      </c>
      <c r="AD198" s="33">
        <f>AB198-AC198</f>
        <v/>
      </c>
      <c r="AE198" s="33">
        <f>IF(AI197&lt;=0,0,ROUND(AI197*(1+'Your debts'!$D$11/1200),2))</f>
        <v/>
      </c>
      <c r="AF198" s="33">
        <f>IF(AE198&lt;=0,0,MIN('Your debts'!$E$11,AE198))</f>
        <v/>
      </c>
      <c r="AG198" s="33">
        <f>AE198-AF198</f>
        <v/>
      </c>
      <c r="AH198" s="33">
        <f>IF('Your debts'!$F$11="",0,MIN(AG198,MAX(0,MAX(0,'Your debts'!$C$19-(G198+L198+Q198+V198+AA198+AF198+AK198+AP198+AU198+AZ198))-(IF(AND('Your debts'!$F$6&lt;&gt;"",'Your debts'!$F$11&lt;&gt;"",'Your debts'!$F$6&lt;'Your debts'!$F$11),H198,0)+IF(AND('Your debts'!$F$7&lt;&gt;"",'Your debts'!$F$11&lt;&gt;"",'Your debts'!$F$7&lt;'Your debts'!$F$11),M198,0)+IF(AND('Your debts'!$F$8&lt;&gt;"",'Your debts'!$F$11&lt;&gt;"",'Your debts'!$F$8&lt;'Your debts'!$F$11),R198,0)+IF(AND('Your debts'!$F$9&lt;&gt;"",'Your debts'!$F$11&lt;&gt;"",'Your debts'!$F$9&lt;'Your debts'!$F$11),W198,0)+IF(AND('Your debts'!$F$10&lt;&gt;"",'Your debts'!$F$11&lt;&gt;"",'Your debts'!$F$10&lt;'Your debts'!$F$11),AB198,0)+IF(AND('Your debts'!$F$12&lt;&gt;"",'Your debts'!$F$11&lt;&gt;"",'Your debts'!$F$12&lt;'Your debts'!$F$11),AL198,0)+IF(AND('Your debts'!$F$13&lt;&gt;"",'Your debts'!$F$11&lt;&gt;"",'Your debts'!$F$13&lt;'Your debts'!$F$11),AQ198,0)+IF(AND('Your debts'!$F$14&lt;&gt;"",'Your debts'!$F$11&lt;&gt;"",'Your debts'!$F$14&lt;'Your debts'!$F$11),AV198,0)+IF(AND('Your debts'!$F$15&lt;&gt;"",'Your debts'!$F$11&lt;&gt;"",'Your debts'!$F$15&lt;'Your debts'!$F$11),BA198,0)))))</f>
        <v/>
      </c>
      <c r="AI198" s="33">
        <f>AG198-AH198</f>
        <v/>
      </c>
      <c r="AJ198" s="33">
        <f>IF(AN197&lt;=0,0,ROUND(AN197*(1+'Your debts'!$D$12/1200),2))</f>
        <v/>
      </c>
      <c r="AK198" s="33">
        <f>IF(AJ198&lt;=0,0,MIN('Your debts'!$E$12,AJ198))</f>
        <v/>
      </c>
      <c r="AL198" s="33">
        <f>AJ198-AK198</f>
        <v/>
      </c>
      <c r="AM198" s="33">
        <f>IF('Your debts'!$F$12="",0,MIN(AL198,MAX(0,MAX(0,'Your debts'!$C$19-(G198+L198+Q198+V198+AA198+AF198+AK198+AP198+AU198+AZ198))-(IF(AND('Your debts'!$F$6&lt;&gt;"",'Your debts'!$F$12&lt;&gt;"",'Your debts'!$F$6&lt;'Your debts'!$F$12),H198,0)+IF(AND('Your debts'!$F$7&lt;&gt;"",'Your debts'!$F$12&lt;&gt;"",'Your debts'!$F$7&lt;'Your debts'!$F$12),M198,0)+IF(AND('Your debts'!$F$8&lt;&gt;"",'Your debts'!$F$12&lt;&gt;"",'Your debts'!$F$8&lt;'Your debts'!$F$12),R198,0)+IF(AND('Your debts'!$F$9&lt;&gt;"",'Your debts'!$F$12&lt;&gt;"",'Your debts'!$F$9&lt;'Your debts'!$F$12),W198,0)+IF(AND('Your debts'!$F$10&lt;&gt;"",'Your debts'!$F$12&lt;&gt;"",'Your debts'!$F$10&lt;'Your debts'!$F$12),AB198,0)+IF(AND('Your debts'!$F$11&lt;&gt;"",'Your debts'!$F$12&lt;&gt;"",'Your debts'!$F$11&lt;'Your debts'!$F$12),AG198,0)+IF(AND('Your debts'!$F$13&lt;&gt;"",'Your debts'!$F$12&lt;&gt;"",'Your debts'!$F$13&lt;'Your debts'!$F$12),AQ198,0)+IF(AND('Your debts'!$F$14&lt;&gt;"",'Your debts'!$F$12&lt;&gt;"",'Your debts'!$F$14&lt;'Your debts'!$F$12),AV198,0)+IF(AND('Your debts'!$F$15&lt;&gt;"",'Your debts'!$F$12&lt;&gt;"",'Your debts'!$F$15&lt;'Your debts'!$F$12),BA198,0)))))</f>
        <v/>
      </c>
      <c r="AN198" s="33">
        <f>AL198-AM198</f>
        <v/>
      </c>
      <c r="AO198" s="33">
        <f>IF(AS197&lt;=0,0,ROUND(AS197*(1+'Your debts'!$D$13/1200),2))</f>
        <v/>
      </c>
      <c r="AP198" s="33">
        <f>IF(AO198&lt;=0,0,MIN('Your debts'!$E$13,AO198))</f>
        <v/>
      </c>
      <c r="AQ198" s="33">
        <f>AO198-AP198</f>
        <v/>
      </c>
      <c r="AR198" s="33">
        <f>IF('Your debts'!$F$13="",0,MIN(AQ198,MAX(0,MAX(0,'Your debts'!$C$19-(G198+L198+Q198+V198+AA198+AF198+AK198+AP198+AU198+AZ198))-(IF(AND('Your debts'!$F$6&lt;&gt;"",'Your debts'!$F$13&lt;&gt;"",'Your debts'!$F$6&lt;'Your debts'!$F$13),H198,0)+IF(AND('Your debts'!$F$7&lt;&gt;"",'Your debts'!$F$13&lt;&gt;"",'Your debts'!$F$7&lt;'Your debts'!$F$13),M198,0)+IF(AND('Your debts'!$F$8&lt;&gt;"",'Your debts'!$F$13&lt;&gt;"",'Your debts'!$F$8&lt;'Your debts'!$F$13),R198,0)+IF(AND('Your debts'!$F$9&lt;&gt;"",'Your debts'!$F$13&lt;&gt;"",'Your debts'!$F$9&lt;'Your debts'!$F$13),W198,0)+IF(AND('Your debts'!$F$10&lt;&gt;"",'Your debts'!$F$13&lt;&gt;"",'Your debts'!$F$10&lt;'Your debts'!$F$13),AB198,0)+IF(AND('Your debts'!$F$11&lt;&gt;"",'Your debts'!$F$13&lt;&gt;"",'Your debts'!$F$11&lt;'Your debts'!$F$13),AG198,0)+IF(AND('Your debts'!$F$12&lt;&gt;"",'Your debts'!$F$13&lt;&gt;"",'Your debts'!$F$12&lt;'Your debts'!$F$13),AL198,0)+IF(AND('Your debts'!$F$14&lt;&gt;"",'Your debts'!$F$13&lt;&gt;"",'Your debts'!$F$14&lt;'Your debts'!$F$13),AV198,0)+IF(AND('Your debts'!$F$15&lt;&gt;"",'Your debts'!$F$13&lt;&gt;"",'Your debts'!$F$15&lt;'Your debts'!$F$13),BA198,0)))))</f>
        <v/>
      </c>
      <c r="AS198" s="33">
        <f>AQ198-AR198</f>
        <v/>
      </c>
      <c r="AT198" s="33">
        <f>IF(AX197&lt;=0,0,ROUND(AX197*(1+'Your debts'!$D$14/1200),2))</f>
        <v/>
      </c>
      <c r="AU198" s="33">
        <f>IF(AT198&lt;=0,0,MIN('Your debts'!$E$14,AT198))</f>
        <v/>
      </c>
      <c r="AV198" s="33">
        <f>AT198-AU198</f>
        <v/>
      </c>
      <c r="AW198" s="33">
        <f>IF('Your debts'!$F$14="",0,MIN(AV198,MAX(0,MAX(0,'Your debts'!$C$19-(G198+L198+Q198+V198+AA198+AF198+AK198+AP198+AU198+AZ198))-(IF(AND('Your debts'!$F$6&lt;&gt;"",'Your debts'!$F$14&lt;&gt;"",'Your debts'!$F$6&lt;'Your debts'!$F$14),H198,0)+IF(AND('Your debts'!$F$7&lt;&gt;"",'Your debts'!$F$14&lt;&gt;"",'Your debts'!$F$7&lt;'Your debts'!$F$14),M198,0)+IF(AND('Your debts'!$F$8&lt;&gt;"",'Your debts'!$F$14&lt;&gt;"",'Your debts'!$F$8&lt;'Your debts'!$F$14),R198,0)+IF(AND('Your debts'!$F$9&lt;&gt;"",'Your debts'!$F$14&lt;&gt;"",'Your debts'!$F$9&lt;'Your debts'!$F$14),W198,0)+IF(AND('Your debts'!$F$10&lt;&gt;"",'Your debts'!$F$14&lt;&gt;"",'Your debts'!$F$10&lt;'Your debts'!$F$14),AB198,0)+IF(AND('Your debts'!$F$11&lt;&gt;"",'Your debts'!$F$14&lt;&gt;"",'Your debts'!$F$11&lt;'Your debts'!$F$14),AG198,0)+IF(AND('Your debts'!$F$12&lt;&gt;"",'Your debts'!$F$14&lt;&gt;"",'Your debts'!$F$12&lt;'Your debts'!$F$14),AL198,0)+IF(AND('Your debts'!$F$13&lt;&gt;"",'Your debts'!$F$14&lt;&gt;"",'Your debts'!$F$13&lt;'Your debts'!$F$14),AQ198,0)+IF(AND('Your debts'!$F$15&lt;&gt;"",'Your debts'!$F$14&lt;&gt;"",'Your debts'!$F$15&lt;'Your debts'!$F$14),BA198,0)))))</f>
        <v/>
      </c>
      <c r="AX198" s="33">
        <f>AV198-AW198</f>
        <v/>
      </c>
      <c r="AY198" s="33">
        <f>IF(BC197&lt;=0,0,ROUND(BC197*(1+'Your debts'!$D$15/1200),2))</f>
        <v/>
      </c>
      <c r="AZ198" s="33">
        <f>IF(AY198&lt;=0,0,MIN('Your debts'!$E$15,AY198))</f>
        <v/>
      </c>
      <c r="BA198" s="33">
        <f>AY198-AZ198</f>
        <v/>
      </c>
      <c r="BB198" s="33">
        <f>IF('Your debts'!$F$15="",0,MIN(BA198,MAX(0,MAX(0,'Your debts'!$C$19-(G198+L198+Q198+V198+AA198+AF198+AK198+AP198+AU198+AZ198))-(IF(AND('Your debts'!$F$6&lt;&gt;"",'Your debts'!$F$15&lt;&gt;"",'Your debts'!$F$6&lt;'Your debts'!$F$15),H198,0)+IF(AND('Your debts'!$F$7&lt;&gt;"",'Your debts'!$F$15&lt;&gt;"",'Your debts'!$F$7&lt;'Your debts'!$F$15),M198,0)+IF(AND('Your debts'!$F$8&lt;&gt;"",'Your debts'!$F$15&lt;&gt;"",'Your debts'!$F$8&lt;'Your debts'!$F$15),R198,0)+IF(AND('Your debts'!$F$9&lt;&gt;"",'Your debts'!$F$15&lt;&gt;"",'Your debts'!$F$9&lt;'Your debts'!$F$15),W198,0)+IF(AND('Your debts'!$F$10&lt;&gt;"",'Your debts'!$F$15&lt;&gt;"",'Your debts'!$F$10&lt;'Your debts'!$F$15),AB198,0)+IF(AND('Your debts'!$F$11&lt;&gt;"",'Your debts'!$F$15&lt;&gt;"",'Your debts'!$F$11&lt;'Your debts'!$F$15),AG198,0)+IF(AND('Your debts'!$F$12&lt;&gt;"",'Your debts'!$F$15&lt;&gt;"",'Your debts'!$F$12&lt;'Your debts'!$F$15),AL198,0)+IF(AND('Your debts'!$F$13&lt;&gt;"",'Your debts'!$F$15&lt;&gt;"",'Your debts'!$F$13&lt;'Your debts'!$F$15),AQ198,0)+IF(AND('Your debts'!$F$14&lt;&gt;"",'Your debts'!$F$15&lt;&gt;"",'Your debts'!$F$14&lt;'Your debts'!$F$15),AV198,0)))))</f>
        <v/>
      </c>
      <c r="BC198" s="33">
        <f>BA198-BB198</f>
        <v/>
      </c>
    </row>
    <row r="199">
      <c r="A199" s="30" t="n">
        <v>184</v>
      </c>
      <c r="B199" s="31">
        <f>EDATE($B$15,184)</f>
        <v/>
      </c>
      <c r="C199" s="32">
        <f>IF(J198&lt;=0,0,F199-J198)+IF(O198&lt;=0,0,K199-O198)+IF(T198&lt;=0,0,P199-T198)+IF(Y198&lt;=0,0,U199-Y198)+IF(AD198&lt;=0,0,Z199-AD198)+IF(AI198&lt;=0,0,AE199-AI198)+IF(AN198&lt;=0,0,AJ199-AN198)+IF(AS198&lt;=0,0,AO199-AS198)+IF(AX198&lt;=0,0,AT199-AX198)+IF(BC198&lt;=0,0,AY199-BC198)</f>
        <v/>
      </c>
      <c r="D199" s="32">
        <f>G199+I199+L199+N199+Q199+S199+V199+X199+AA199+AC199+AF199+AH199+AK199+AM199+AP199+AR199+AU199+AW199+AZ199+BB199</f>
        <v/>
      </c>
      <c r="E199" s="32">
        <f>J199+O199+T199+Y199+AD199+AI199+AN199+AS199+AX199+BC199</f>
        <v/>
      </c>
      <c r="F199" s="33">
        <f>IF(J198&lt;=0,0,ROUND(J198*(1+'Your debts'!$D$6/1200),2))</f>
        <v/>
      </c>
      <c r="G199" s="33">
        <f>IF(F199&lt;=0,0,MIN('Your debts'!$E$6,F199))</f>
        <v/>
      </c>
      <c r="H199" s="33">
        <f>F199-G199</f>
        <v/>
      </c>
      <c r="I199" s="33">
        <f>IF('Your debts'!$F$6="",0,MIN(H199,MAX(0,MAX(0,'Your debts'!$C$19-(G199+L199+Q199+V199+AA199+AF199+AK199+AP199+AU199+AZ199))-(IF(AND('Your debts'!$F$7&lt;&gt;"",'Your debts'!$F$6&lt;&gt;"",'Your debts'!$F$7&lt;'Your debts'!$F$6),M199,0)+IF(AND('Your debts'!$F$8&lt;&gt;"",'Your debts'!$F$6&lt;&gt;"",'Your debts'!$F$8&lt;'Your debts'!$F$6),R199,0)+IF(AND('Your debts'!$F$9&lt;&gt;"",'Your debts'!$F$6&lt;&gt;"",'Your debts'!$F$9&lt;'Your debts'!$F$6),W199,0)+IF(AND('Your debts'!$F$10&lt;&gt;"",'Your debts'!$F$6&lt;&gt;"",'Your debts'!$F$10&lt;'Your debts'!$F$6),AB199,0)+IF(AND('Your debts'!$F$11&lt;&gt;"",'Your debts'!$F$6&lt;&gt;"",'Your debts'!$F$11&lt;'Your debts'!$F$6),AG199,0)+IF(AND('Your debts'!$F$12&lt;&gt;"",'Your debts'!$F$6&lt;&gt;"",'Your debts'!$F$12&lt;'Your debts'!$F$6),AL199,0)+IF(AND('Your debts'!$F$13&lt;&gt;"",'Your debts'!$F$6&lt;&gt;"",'Your debts'!$F$13&lt;'Your debts'!$F$6),AQ199,0)+IF(AND('Your debts'!$F$14&lt;&gt;"",'Your debts'!$F$6&lt;&gt;"",'Your debts'!$F$14&lt;'Your debts'!$F$6),AV199,0)+IF(AND('Your debts'!$F$15&lt;&gt;"",'Your debts'!$F$6&lt;&gt;"",'Your debts'!$F$15&lt;'Your debts'!$F$6),BA199,0)))))</f>
        <v/>
      </c>
      <c r="J199" s="33">
        <f>H199-I199</f>
        <v/>
      </c>
      <c r="K199" s="33">
        <f>IF(O198&lt;=0,0,ROUND(O198*(1+'Your debts'!$D$7/1200),2))</f>
        <v/>
      </c>
      <c r="L199" s="33">
        <f>IF(K199&lt;=0,0,MIN('Your debts'!$E$7,K199))</f>
        <v/>
      </c>
      <c r="M199" s="33">
        <f>K199-L199</f>
        <v/>
      </c>
      <c r="N199" s="33">
        <f>IF('Your debts'!$F$7="",0,MIN(M199,MAX(0,MAX(0,'Your debts'!$C$19-(G199+L199+Q199+V199+AA199+AF199+AK199+AP199+AU199+AZ199))-(IF(AND('Your debts'!$F$6&lt;&gt;"",'Your debts'!$F$7&lt;&gt;"",'Your debts'!$F$6&lt;'Your debts'!$F$7),H199,0)+IF(AND('Your debts'!$F$8&lt;&gt;"",'Your debts'!$F$7&lt;&gt;"",'Your debts'!$F$8&lt;'Your debts'!$F$7),R199,0)+IF(AND('Your debts'!$F$9&lt;&gt;"",'Your debts'!$F$7&lt;&gt;"",'Your debts'!$F$9&lt;'Your debts'!$F$7),W199,0)+IF(AND('Your debts'!$F$10&lt;&gt;"",'Your debts'!$F$7&lt;&gt;"",'Your debts'!$F$10&lt;'Your debts'!$F$7),AB199,0)+IF(AND('Your debts'!$F$11&lt;&gt;"",'Your debts'!$F$7&lt;&gt;"",'Your debts'!$F$11&lt;'Your debts'!$F$7),AG199,0)+IF(AND('Your debts'!$F$12&lt;&gt;"",'Your debts'!$F$7&lt;&gt;"",'Your debts'!$F$12&lt;'Your debts'!$F$7),AL199,0)+IF(AND('Your debts'!$F$13&lt;&gt;"",'Your debts'!$F$7&lt;&gt;"",'Your debts'!$F$13&lt;'Your debts'!$F$7),AQ199,0)+IF(AND('Your debts'!$F$14&lt;&gt;"",'Your debts'!$F$7&lt;&gt;"",'Your debts'!$F$14&lt;'Your debts'!$F$7),AV199,0)+IF(AND('Your debts'!$F$15&lt;&gt;"",'Your debts'!$F$7&lt;&gt;"",'Your debts'!$F$15&lt;'Your debts'!$F$7),BA199,0)))))</f>
        <v/>
      </c>
      <c r="O199" s="33">
        <f>M199-N199</f>
        <v/>
      </c>
      <c r="P199" s="33">
        <f>IF(T198&lt;=0,0,ROUND(T198*(1+'Your debts'!$D$8/1200),2))</f>
        <v/>
      </c>
      <c r="Q199" s="33">
        <f>IF(P199&lt;=0,0,MIN('Your debts'!$E$8,P199))</f>
        <v/>
      </c>
      <c r="R199" s="33">
        <f>P199-Q199</f>
        <v/>
      </c>
      <c r="S199" s="33">
        <f>IF('Your debts'!$F$8="",0,MIN(R199,MAX(0,MAX(0,'Your debts'!$C$19-(G199+L199+Q199+V199+AA199+AF199+AK199+AP199+AU199+AZ199))-(IF(AND('Your debts'!$F$6&lt;&gt;"",'Your debts'!$F$8&lt;&gt;"",'Your debts'!$F$6&lt;'Your debts'!$F$8),H199,0)+IF(AND('Your debts'!$F$7&lt;&gt;"",'Your debts'!$F$8&lt;&gt;"",'Your debts'!$F$7&lt;'Your debts'!$F$8),M199,0)+IF(AND('Your debts'!$F$9&lt;&gt;"",'Your debts'!$F$8&lt;&gt;"",'Your debts'!$F$9&lt;'Your debts'!$F$8),W199,0)+IF(AND('Your debts'!$F$10&lt;&gt;"",'Your debts'!$F$8&lt;&gt;"",'Your debts'!$F$10&lt;'Your debts'!$F$8),AB199,0)+IF(AND('Your debts'!$F$11&lt;&gt;"",'Your debts'!$F$8&lt;&gt;"",'Your debts'!$F$11&lt;'Your debts'!$F$8),AG199,0)+IF(AND('Your debts'!$F$12&lt;&gt;"",'Your debts'!$F$8&lt;&gt;"",'Your debts'!$F$12&lt;'Your debts'!$F$8),AL199,0)+IF(AND('Your debts'!$F$13&lt;&gt;"",'Your debts'!$F$8&lt;&gt;"",'Your debts'!$F$13&lt;'Your debts'!$F$8),AQ199,0)+IF(AND('Your debts'!$F$14&lt;&gt;"",'Your debts'!$F$8&lt;&gt;"",'Your debts'!$F$14&lt;'Your debts'!$F$8),AV199,0)+IF(AND('Your debts'!$F$15&lt;&gt;"",'Your debts'!$F$8&lt;&gt;"",'Your debts'!$F$15&lt;'Your debts'!$F$8),BA199,0)))))</f>
        <v/>
      </c>
      <c r="T199" s="33">
        <f>R199-S199</f>
        <v/>
      </c>
      <c r="U199" s="33">
        <f>IF(Y198&lt;=0,0,ROUND(Y198*(1+'Your debts'!$D$9/1200),2))</f>
        <v/>
      </c>
      <c r="V199" s="33">
        <f>IF(U199&lt;=0,0,MIN('Your debts'!$E$9,U199))</f>
        <v/>
      </c>
      <c r="W199" s="33">
        <f>U199-V199</f>
        <v/>
      </c>
      <c r="X199" s="33">
        <f>IF('Your debts'!$F$9="",0,MIN(W199,MAX(0,MAX(0,'Your debts'!$C$19-(G199+L199+Q199+V199+AA199+AF199+AK199+AP199+AU199+AZ199))-(IF(AND('Your debts'!$F$6&lt;&gt;"",'Your debts'!$F$9&lt;&gt;"",'Your debts'!$F$6&lt;'Your debts'!$F$9),H199,0)+IF(AND('Your debts'!$F$7&lt;&gt;"",'Your debts'!$F$9&lt;&gt;"",'Your debts'!$F$7&lt;'Your debts'!$F$9),M199,0)+IF(AND('Your debts'!$F$8&lt;&gt;"",'Your debts'!$F$9&lt;&gt;"",'Your debts'!$F$8&lt;'Your debts'!$F$9),R199,0)+IF(AND('Your debts'!$F$10&lt;&gt;"",'Your debts'!$F$9&lt;&gt;"",'Your debts'!$F$10&lt;'Your debts'!$F$9),AB199,0)+IF(AND('Your debts'!$F$11&lt;&gt;"",'Your debts'!$F$9&lt;&gt;"",'Your debts'!$F$11&lt;'Your debts'!$F$9),AG199,0)+IF(AND('Your debts'!$F$12&lt;&gt;"",'Your debts'!$F$9&lt;&gt;"",'Your debts'!$F$12&lt;'Your debts'!$F$9),AL199,0)+IF(AND('Your debts'!$F$13&lt;&gt;"",'Your debts'!$F$9&lt;&gt;"",'Your debts'!$F$13&lt;'Your debts'!$F$9),AQ199,0)+IF(AND('Your debts'!$F$14&lt;&gt;"",'Your debts'!$F$9&lt;&gt;"",'Your debts'!$F$14&lt;'Your debts'!$F$9),AV199,0)+IF(AND('Your debts'!$F$15&lt;&gt;"",'Your debts'!$F$9&lt;&gt;"",'Your debts'!$F$15&lt;'Your debts'!$F$9),BA199,0)))))</f>
        <v/>
      </c>
      <c r="Y199" s="33">
        <f>W199-X199</f>
        <v/>
      </c>
      <c r="Z199" s="33">
        <f>IF(AD198&lt;=0,0,ROUND(AD198*(1+'Your debts'!$D$10/1200),2))</f>
        <v/>
      </c>
      <c r="AA199" s="33">
        <f>IF(Z199&lt;=0,0,MIN('Your debts'!$E$10,Z199))</f>
        <v/>
      </c>
      <c r="AB199" s="33">
        <f>Z199-AA199</f>
        <v/>
      </c>
      <c r="AC199" s="33">
        <f>IF('Your debts'!$F$10="",0,MIN(AB199,MAX(0,MAX(0,'Your debts'!$C$19-(G199+L199+Q199+V199+AA199+AF199+AK199+AP199+AU199+AZ199))-(IF(AND('Your debts'!$F$6&lt;&gt;"",'Your debts'!$F$10&lt;&gt;"",'Your debts'!$F$6&lt;'Your debts'!$F$10),H199,0)+IF(AND('Your debts'!$F$7&lt;&gt;"",'Your debts'!$F$10&lt;&gt;"",'Your debts'!$F$7&lt;'Your debts'!$F$10),M199,0)+IF(AND('Your debts'!$F$8&lt;&gt;"",'Your debts'!$F$10&lt;&gt;"",'Your debts'!$F$8&lt;'Your debts'!$F$10),R199,0)+IF(AND('Your debts'!$F$9&lt;&gt;"",'Your debts'!$F$10&lt;&gt;"",'Your debts'!$F$9&lt;'Your debts'!$F$10),W199,0)+IF(AND('Your debts'!$F$11&lt;&gt;"",'Your debts'!$F$10&lt;&gt;"",'Your debts'!$F$11&lt;'Your debts'!$F$10),AG199,0)+IF(AND('Your debts'!$F$12&lt;&gt;"",'Your debts'!$F$10&lt;&gt;"",'Your debts'!$F$12&lt;'Your debts'!$F$10),AL199,0)+IF(AND('Your debts'!$F$13&lt;&gt;"",'Your debts'!$F$10&lt;&gt;"",'Your debts'!$F$13&lt;'Your debts'!$F$10),AQ199,0)+IF(AND('Your debts'!$F$14&lt;&gt;"",'Your debts'!$F$10&lt;&gt;"",'Your debts'!$F$14&lt;'Your debts'!$F$10),AV199,0)+IF(AND('Your debts'!$F$15&lt;&gt;"",'Your debts'!$F$10&lt;&gt;"",'Your debts'!$F$15&lt;'Your debts'!$F$10),BA199,0)))))</f>
        <v/>
      </c>
      <c r="AD199" s="33">
        <f>AB199-AC199</f>
        <v/>
      </c>
      <c r="AE199" s="33">
        <f>IF(AI198&lt;=0,0,ROUND(AI198*(1+'Your debts'!$D$11/1200),2))</f>
        <v/>
      </c>
      <c r="AF199" s="33">
        <f>IF(AE199&lt;=0,0,MIN('Your debts'!$E$11,AE199))</f>
        <v/>
      </c>
      <c r="AG199" s="33">
        <f>AE199-AF199</f>
        <v/>
      </c>
      <c r="AH199" s="33">
        <f>IF('Your debts'!$F$11="",0,MIN(AG199,MAX(0,MAX(0,'Your debts'!$C$19-(G199+L199+Q199+V199+AA199+AF199+AK199+AP199+AU199+AZ199))-(IF(AND('Your debts'!$F$6&lt;&gt;"",'Your debts'!$F$11&lt;&gt;"",'Your debts'!$F$6&lt;'Your debts'!$F$11),H199,0)+IF(AND('Your debts'!$F$7&lt;&gt;"",'Your debts'!$F$11&lt;&gt;"",'Your debts'!$F$7&lt;'Your debts'!$F$11),M199,0)+IF(AND('Your debts'!$F$8&lt;&gt;"",'Your debts'!$F$11&lt;&gt;"",'Your debts'!$F$8&lt;'Your debts'!$F$11),R199,0)+IF(AND('Your debts'!$F$9&lt;&gt;"",'Your debts'!$F$11&lt;&gt;"",'Your debts'!$F$9&lt;'Your debts'!$F$11),W199,0)+IF(AND('Your debts'!$F$10&lt;&gt;"",'Your debts'!$F$11&lt;&gt;"",'Your debts'!$F$10&lt;'Your debts'!$F$11),AB199,0)+IF(AND('Your debts'!$F$12&lt;&gt;"",'Your debts'!$F$11&lt;&gt;"",'Your debts'!$F$12&lt;'Your debts'!$F$11),AL199,0)+IF(AND('Your debts'!$F$13&lt;&gt;"",'Your debts'!$F$11&lt;&gt;"",'Your debts'!$F$13&lt;'Your debts'!$F$11),AQ199,0)+IF(AND('Your debts'!$F$14&lt;&gt;"",'Your debts'!$F$11&lt;&gt;"",'Your debts'!$F$14&lt;'Your debts'!$F$11),AV199,0)+IF(AND('Your debts'!$F$15&lt;&gt;"",'Your debts'!$F$11&lt;&gt;"",'Your debts'!$F$15&lt;'Your debts'!$F$11),BA199,0)))))</f>
        <v/>
      </c>
      <c r="AI199" s="33">
        <f>AG199-AH199</f>
        <v/>
      </c>
      <c r="AJ199" s="33">
        <f>IF(AN198&lt;=0,0,ROUND(AN198*(1+'Your debts'!$D$12/1200),2))</f>
        <v/>
      </c>
      <c r="AK199" s="33">
        <f>IF(AJ199&lt;=0,0,MIN('Your debts'!$E$12,AJ199))</f>
        <v/>
      </c>
      <c r="AL199" s="33">
        <f>AJ199-AK199</f>
        <v/>
      </c>
      <c r="AM199" s="33">
        <f>IF('Your debts'!$F$12="",0,MIN(AL199,MAX(0,MAX(0,'Your debts'!$C$19-(G199+L199+Q199+V199+AA199+AF199+AK199+AP199+AU199+AZ199))-(IF(AND('Your debts'!$F$6&lt;&gt;"",'Your debts'!$F$12&lt;&gt;"",'Your debts'!$F$6&lt;'Your debts'!$F$12),H199,0)+IF(AND('Your debts'!$F$7&lt;&gt;"",'Your debts'!$F$12&lt;&gt;"",'Your debts'!$F$7&lt;'Your debts'!$F$12),M199,0)+IF(AND('Your debts'!$F$8&lt;&gt;"",'Your debts'!$F$12&lt;&gt;"",'Your debts'!$F$8&lt;'Your debts'!$F$12),R199,0)+IF(AND('Your debts'!$F$9&lt;&gt;"",'Your debts'!$F$12&lt;&gt;"",'Your debts'!$F$9&lt;'Your debts'!$F$12),W199,0)+IF(AND('Your debts'!$F$10&lt;&gt;"",'Your debts'!$F$12&lt;&gt;"",'Your debts'!$F$10&lt;'Your debts'!$F$12),AB199,0)+IF(AND('Your debts'!$F$11&lt;&gt;"",'Your debts'!$F$12&lt;&gt;"",'Your debts'!$F$11&lt;'Your debts'!$F$12),AG199,0)+IF(AND('Your debts'!$F$13&lt;&gt;"",'Your debts'!$F$12&lt;&gt;"",'Your debts'!$F$13&lt;'Your debts'!$F$12),AQ199,0)+IF(AND('Your debts'!$F$14&lt;&gt;"",'Your debts'!$F$12&lt;&gt;"",'Your debts'!$F$14&lt;'Your debts'!$F$12),AV199,0)+IF(AND('Your debts'!$F$15&lt;&gt;"",'Your debts'!$F$12&lt;&gt;"",'Your debts'!$F$15&lt;'Your debts'!$F$12),BA199,0)))))</f>
        <v/>
      </c>
      <c r="AN199" s="33">
        <f>AL199-AM199</f>
        <v/>
      </c>
      <c r="AO199" s="33">
        <f>IF(AS198&lt;=0,0,ROUND(AS198*(1+'Your debts'!$D$13/1200),2))</f>
        <v/>
      </c>
      <c r="AP199" s="33">
        <f>IF(AO199&lt;=0,0,MIN('Your debts'!$E$13,AO199))</f>
        <v/>
      </c>
      <c r="AQ199" s="33">
        <f>AO199-AP199</f>
        <v/>
      </c>
      <c r="AR199" s="33">
        <f>IF('Your debts'!$F$13="",0,MIN(AQ199,MAX(0,MAX(0,'Your debts'!$C$19-(G199+L199+Q199+V199+AA199+AF199+AK199+AP199+AU199+AZ199))-(IF(AND('Your debts'!$F$6&lt;&gt;"",'Your debts'!$F$13&lt;&gt;"",'Your debts'!$F$6&lt;'Your debts'!$F$13),H199,0)+IF(AND('Your debts'!$F$7&lt;&gt;"",'Your debts'!$F$13&lt;&gt;"",'Your debts'!$F$7&lt;'Your debts'!$F$13),M199,0)+IF(AND('Your debts'!$F$8&lt;&gt;"",'Your debts'!$F$13&lt;&gt;"",'Your debts'!$F$8&lt;'Your debts'!$F$13),R199,0)+IF(AND('Your debts'!$F$9&lt;&gt;"",'Your debts'!$F$13&lt;&gt;"",'Your debts'!$F$9&lt;'Your debts'!$F$13),W199,0)+IF(AND('Your debts'!$F$10&lt;&gt;"",'Your debts'!$F$13&lt;&gt;"",'Your debts'!$F$10&lt;'Your debts'!$F$13),AB199,0)+IF(AND('Your debts'!$F$11&lt;&gt;"",'Your debts'!$F$13&lt;&gt;"",'Your debts'!$F$11&lt;'Your debts'!$F$13),AG199,0)+IF(AND('Your debts'!$F$12&lt;&gt;"",'Your debts'!$F$13&lt;&gt;"",'Your debts'!$F$12&lt;'Your debts'!$F$13),AL199,0)+IF(AND('Your debts'!$F$14&lt;&gt;"",'Your debts'!$F$13&lt;&gt;"",'Your debts'!$F$14&lt;'Your debts'!$F$13),AV199,0)+IF(AND('Your debts'!$F$15&lt;&gt;"",'Your debts'!$F$13&lt;&gt;"",'Your debts'!$F$15&lt;'Your debts'!$F$13),BA199,0)))))</f>
        <v/>
      </c>
      <c r="AS199" s="33">
        <f>AQ199-AR199</f>
        <v/>
      </c>
      <c r="AT199" s="33">
        <f>IF(AX198&lt;=0,0,ROUND(AX198*(1+'Your debts'!$D$14/1200),2))</f>
        <v/>
      </c>
      <c r="AU199" s="33">
        <f>IF(AT199&lt;=0,0,MIN('Your debts'!$E$14,AT199))</f>
        <v/>
      </c>
      <c r="AV199" s="33">
        <f>AT199-AU199</f>
        <v/>
      </c>
      <c r="AW199" s="33">
        <f>IF('Your debts'!$F$14="",0,MIN(AV199,MAX(0,MAX(0,'Your debts'!$C$19-(G199+L199+Q199+V199+AA199+AF199+AK199+AP199+AU199+AZ199))-(IF(AND('Your debts'!$F$6&lt;&gt;"",'Your debts'!$F$14&lt;&gt;"",'Your debts'!$F$6&lt;'Your debts'!$F$14),H199,0)+IF(AND('Your debts'!$F$7&lt;&gt;"",'Your debts'!$F$14&lt;&gt;"",'Your debts'!$F$7&lt;'Your debts'!$F$14),M199,0)+IF(AND('Your debts'!$F$8&lt;&gt;"",'Your debts'!$F$14&lt;&gt;"",'Your debts'!$F$8&lt;'Your debts'!$F$14),R199,0)+IF(AND('Your debts'!$F$9&lt;&gt;"",'Your debts'!$F$14&lt;&gt;"",'Your debts'!$F$9&lt;'Your debts'!$F$14),W199,0)+IF(AND('Your debts'!$F$10&lt;&gt;"",'Your debts'!$F$14&lt;&gt;"",'Your debts'!$F$10&lt;'Your debts'!$F$14),AB199,0)+IF(AND('Your debts'!$F$11&lt;&gt;"",'Your debts'!$F$14&lt;&gt;"",'Your debts'!$F$11&lt;'Your debts'!$F$14),AG199,0)+IF(AND('Your debts'!$F$12&lt;&gt;"",'Your debts'!$F$14&lt;&gt;"",'Your debts'!$F$12&lt;'Your debts'!$F$14),AL199,0)+IF(AND('Your debts'!$F$13&lt;&gt;"",'Your debts'!$F$14&lt;&gt;"",'Your debts'!$F$13&lt;'Your debts'!$F$14),AQ199,0)+IF(AND('Your debts'!$F$15&lt;&gt;"",'Your debts'!$F$14&lt;&gt;"",'Your debts'!$F$15&lt;'Your debts'!$F$14),BA199,0)))))</f>
        <v/>
      </c>
      <c r="AX199" s="33">
        <f>AV199-AW199</f>
        <v/>
      </c>
      <c r="AY199" s="33">
        <f>IF(BC198&lt;=0,0,ROUND(BC198*(1+'Your debts'!$D$15/1200),2))</f>
        <v/>
      </c>
      <c r="AZ199" s="33">
        <f>IF(AY199&lt;=0,0,MIN('Your debts'!$E$15,AY199))</f>
        <v/>
      </c>
      <c r="BA199" s="33">
        <f>AY199-AZ199</f>
        <v/>
      </c>
      <c r="BB199" s="33">
        <f>IF('Your debts'!$F$15="",0,MIN(BA199,MAX(0,MAX(0,'Your debts'!$C$19-(G199+L199+Q199+V199+AA199+AF199+AK199+AP199+AU199+AZ199))-(IF(AND('Your debts'!$F$6&lt;&gt;"",'Your debts'!$F$15&lt;&gt;"",'Your debts'!$F$6&lt;'Your debts'!$F$15),H199,0)+IF(AND('Your debts'!$F$7&lt;&gt;"",'Your debts'!$F$15&lt;&gt;"",'Your debts'!$F$7&lt;'Your debts'!$F$15),M199,0)+IF(AND('Your debts'!$F$8&lt;&gt;"",'Your debts'!$F$15&lt;&gt;"",'Your debts'!$F$8&lt;'Your debts'!$F$15),R199,0)+IF(AND('Your debts'!$F$9&lt;&gt;"",'Your debts'!$F$15&lt;&gt;"",'Your debts'!$F$9&lt;'Your debts'!$F$15),W199,0)+IF(AND('Your debts'!$F$10&lt;&gt;"",'Your debts'!$F$15&lt;&gt;"",'Your debts'!$F$10&lt;'Your debts'!$F$15),AB199,0)+IF(AND('Your debts'!$F$11&lt;&gt;"",'Your debts'!$F$15&lt;&gt;"",'Your debts'!$F$11&lt;'Your debts'!$F$15),AG199,0)+IF(AND('Your debts'!$F$12&lt;&gt;"",'Your debts'!$F$15&lt;&gt;"",'Your debts'!$F$12&lt;'Your debts'!$F$15),AL199,0)+IF(AND('Your debts'!$F$13&lt;&gt;"",'Your debts'!$F$15&lt;&gt;"",'Your debts'!$F$13&lt;'Your debts'!$F$15),AQ199,0)+IF(AND('Your debts'!$F$14&lt;&gt;"",'Your debts'!$F$15&lt;&gt;"",'Your debts'!$F$14&lt;'Your debts'!$F$15),AV199,0)))))</f>
        <v/>
      </c>
      <c r="BC199" s="33">
        <f>BA199-BB199</f>
        <v/>
      </c>
    </row>
    <row r="200">
      <c r="A200" s="30" t="n">
        <v>185</v>
      </c>
      <c r="B200" s="31">
        <f>EDATE($B$15,185)</f>
        <v/>
      </c>
      <c r="C200" s="32">
        <f>IF(J199&lt;=0,0,F200-J199)+IF(O199&lt;=0,0,K200-O199)+IF(T199&lt;=0,0,P200-T199)+IF(Y199&lt;=0,0,U200-Y199)+IF(AD199&lt;=0,0,Z200-AD199)+IF(AI199&lt;=0,0,AE200-AI199)+IF(AN199&lt;=0,0,AJ200-AN199)+IF(AS199&lt;=0,0,AO200-AS199)+IF(AX199&lt;=0,0,AT200-AX199)+IF(BC199&lt;=0,0,AY200-BC199)</f>
        <v/>
      </c>
      <c r="D200" s="32">
        <f>G200+I200+L200+N200+Q200+S200+V200+X200+AA200+AC200+AF200+AH200+AK200+AM200+AP200+AR200+AU200+AW200+AZ200+BB200</f>
        <v/>
      </c>
      <c r="E200" s="32">
        <f>J200+O200+T200+Y200+AD200+AI200+AN200+AS200+AX200+BC200</f>
        <v/>
      </c>
      <c r="F200" s="33">
        <f>IF(J199&lt;=0,0,ROUND(J199*(1+'Your debts'!$D$6/1200),2))</f>
        <v/>
      </c>
      <c r="G200" s="33">
        <f>IF(F200&lt;=0,0,MIN('Your debts'!$E$6,F200))</f>
        <v/>
      </c>
      <c r="H200" s="33">
        <f>F200-G200</f>
        <v/>
      </c>
      <c r="I200" s="33">
        <f>IF('Your debts'!$F$6="",0,MIN(H200,MAX(0,MAX(0,'Your debts'!$C$19-(G200+L200+Q200+V200+AA200+AF200+AK200+AP200+AU200+AZ200))-(IF(AND('Your debts'!$F$7&lt;&gt;"",'Your debts'!$F$6&lt;&gt;"",'Your debts'!$F$7&lt;'Your debts'!$F$6),M200,0)+IF(AND('Your debts'!$F$8&lt;&gt;"",'Your debts'!$F$6&lt;&gt;"",'Your debts'!$F$8&lt;'Your debts'!$F$6),R200,0)+IF(AND('Your debts'!$F$9&lt;&gt;"",'Your debts'!$F$6&lt;&gt;"",'Your debts'!$F$9&lt;'Your debts'!$F$6),W200,0)+IF(AND('Your debts'!$F$10&lt;&gt;"",'Your debts'!$F$6&lt;&gt;"",'Your debts'!$F$10&lt;'Your debts'!$F$6),AB200,0)+IF(AND('Your debts'!$F$11&lt;&gt;"",'Your debts'!$F$6&lt;&gt;"",'Your debts'!$F$11&lt;'Your debts'!$F$6),AG200,0)+IF(AND('Your debts'!$F$12&lt;&gt;"",'Your debts'!$F$6&lt;&gt;"",'Your debts'!$F$12&lt;'Your debts'!$F$6),AL200,0)+IF(AND('Your debts'!$F$13&lt;&gt;"",'Your debts'!$F$6&lt;&gt;"",'Your debts'!$F$13&lt;'Your debts'!$F$6),AQ200,0)+IF(AND('Your debts'!$F$14&lt;&gt;"",'Your debts'!$F$6&lt;&gt;"",'Your debts'!$F$14&lt;'Your debts'!$F$6),AV200,0)+IF(AND('Your debts'!$F$15&lt;&gt;"",'Your debts'!$F$6&lt;&gt;"",'Your debts'!$F$15&lt;'Your debts'!$F$6),BA200,0)))))</f>
        <v/>
      </c>
      <c r="J200" s="33">
        <f>H200-I200</f>
        <v/>
      </c>
      <c r="K200" s="33">
        <f>IF(O199&lt;=0,0,ROUND(O199*(1+'Your debts'!$D$7/1200),2))</f>
        <v/>
      </c>
      <c r="L200" s="33">
        <f>IF(K200&lt;=0,0,MIN('Your debts'!$E$7,K200))</f>
        <v/>
      </c>
      <c r="M200" s="33">
        <f>K200-L200</f>
        <v/>
      </c>
      <c r="N200" s="33">
        <f>IF('Your debts'!$F$7="",0,MIN(M200,MAX(0,MAX(0,'Your debts'!$C$19-(G200+L200+Q200+V200+AA200+AF200+AK200+AP200+AU200+AZ200))-(IF(AND('Your debts'!$F$6&lt;&gt;"",'Your debts'!$F$7&lt;&gt;"",'Your debts'!$F$6&lt;'Your debts'!$F$7),H200,0)+IF(AND('Your debts'!$F$8&lt;&gt;"",'Your debts'!$F$7&lt;&gt;"",'Your debts'!$F$8&lt;'Your debts'!$F$7),R200,0)+IF(AND('Your debts'!$F$9&lt;&gt;"",'Your debts'!$F$7&lt;&gt;"",'Your debts'!$F$9&lt;'Your debts'!$F$7),W200,0)+IF(AND('Your debts'!$F$10&lt;&gt;"",'Your debts'!$F$7&lt;&gt;"",'Your debts'!$F$10&lt;'Your debts'!$F$7),AB200,0)+IF(AND('Your debts'!$F$11&lt;&gt;"",'Your debts'!$F$7&lt;&gt;"",'Your debts'!$F$11&lt;'Your debts'!$F$7),AG200,0)+IF(AND('Your debts'!$F$12&lt;&gt;"",'Your debts'!$F$7&lt;&gt;"",'Your debts'!$F$12&lt;'Your debts'!$F$7),AL200,0)+IF(AND('Your debts'!$F$13&lt;&gt;"",'Your debts'!$F$7&lt;&gt;"",'Your debts'!$F$13&lt;'Your debts'!$F$7),AQ200,0)+IF(AND('Your debts'!$F$14&lt;&gt;"",'Your debts'!$F$7&lt;&gt;"",'Your debts'!$F$14&lt;'Your debts'!$F$7),AV200,0)+IF(AND('Your debts'!$F$15&lt;&gt;"",'Your debts'!$F$7&lt;&gt;"",'Your debts'!$F$15&lt;'Your debts'!$F$7),BA200,0)))))</f>
        <v/>
      </c>
      <c r="O200" s="33">
        <f>M200-N200</f>
        <v/>
      </c>
      <c r="P200" s="33">
        <f>IF(T199&lt;=0,0,ROUND(T199*(1+'Your debts'!$D$8/1200),2))</f>
        <v/>
      </c>
      <c r="Q200" s="33">
        <f>IF(P200&lt;=0,0,MIN('Your debts'!$E$8,P200))</f>
        <v/>
      </c>
      <c r="R200" s="33">
        <f>P200-Q200</f>
        <v/>
      </c>
      <c r="S200" s="33">
        <f>IF('Your debts'!$F$8="",0,MIN(R200,MAX(0,MAX(0,'Your debts'!$C$19-(G200+L200+Q200+V200+AA200+AF200+AK200+AP200+AU200+AZ200))-(IF(AND('Your debts'!$F$6&lt;&gt;"",'Your debts'!$F$8&lt;&gt;"",'Your debts'!$F$6&lt;'Your debts'!$F$8),H200,0)+IF(AND('Your debts'!$F$7&lt;&gt;"",'Your debts'!$F$8&lt;&gt;"",'Your debts'!$F$7&lt;'Your debts'!$F$8),M200,0)+IF(AND('Your debts'!$F$9&lt;&gt;"",'Your debts'!$F$8&lt;&gt;"",'Your debts'!$F$9&lt;'Your debts'!$F$8),W200,0)+IF(AND('Your debts'!$F$10&lt;&gt;"",'Your debts'!$F$8&lt;&gt;"",'Your debts'!$F$10&lt;'Your debts'!$F$8),AB200,0)+IF(AND('Your debts'!$F$11&lt;&gt;"",'Your debts'!$F$8&lt;&gt;"",'Your debts'!$F$11&lt;'Your debts'!$F$8),AG200,0)+IF(AND('Your debts'!$F$12&lt;&gt;"",'Your debts'!$F$8&lt;&gt;"",'Your debts'!$F$12&lt;'Your debts'!$F$8),AL200,0)+IF(AND('Your debts'!$F$13&lt;&gt;"",'Your debts'!$F$8&lt;&gt;"",'Your debts'!$F$13&lt;'Your debts'!$F$8),AQ200,0)+IF(AND('Your debts'!$F$14&lt;&gt;"",'Your debts'!$F$8&lt;&gt;"",'Your debts'!$F$14&lt;'Your debts'!$F$8),AV200,0)+IF(AND('Your debts'!$F$15&lt;&gt;"",'Your debts'!$F$8&lt;&gt;"",'Your debts'!$F$15&lt;'Your debts'!$F$8),BA200,0)))))</f>
        <v/>
      </c>
      <c r="T200" s="33">
        <f>R200-S200</f>
        <v/>
      </c>
      <c r="U200" s="33">
        <f>IF(Y199&lt;=0,0,ROUND(Y199*(1+'Your debts'!$D$9/1200),2))</f>
        <v/>
      </c>
      <c r="V200" s="33">
        <f>IF(U200&lt;=0,0,MIN('Your debts'!$E$9,U200))</f>
        <v/>
      </c>
      <c r="W200" s="33">
        <f>U200-V200</f>
        <v/>
      </c>
      <c r="X200" s="33">
        <f>IF('Your debts'!$F$9="",0,MIN(W200,MAX(0,MAX(0,'Your debts'!$C$19-(G200+L200+Q200+V200+AA200+AF200+AK200+AP200+AU200+AZ200))-(IF(AND('Your debts'!$F$6&lt;&gt;"",'Your debts'!$F$9&lt;&gt;"",'Your debts'!$F$6&lt;'Your debts'!$F$9),H200,0)+IF(AND('Your debts'!$F$7&lt;&gt;"",'Your debts'!$F$9&lt;&gt;"",'Your debts'!$F$7&lt;'Your debts'!$F$9),M200,0)+IF(AND('Your debts'!$F$8&lt;&gt;"",'Your debts'!$F$9&lt;&gt;"",'Your debts'!$F$8&lt;'Your debts'!$F$9),R200,0)+IF(AND('Your debts'!$F$10&lt;&gt;"",'Your debts'!$F$9&lt;&gt;"",'Your debts'!$F$10&lt;'Your debts'!$F$9),AB200,0)+IF(AND('Your debts'!$F$11&lt;&gt;"",'Your debts'!$F$9&lt;&gt;"",'Your debts'!$F$11&lt;'Your debts'!$F$9),AG200,0)+IF(AND('Your debts'!$F$12&lt;&gt;"",'Your debts'!$F$9&lt;&gt;"",'Your debts'!$F$12&lt;'Your debts'!$F$9),AL200,0)+IF(AND('Your debts'!$F$13&lt;&gt;"",'Your debts'!$F$9&lt;&gt;"",'Your debts'!$F$13&lt;'Your debts'!$F$9),AQ200,0)+IF(AND('Your debts'!$F$14&lt;&gt;"",'Your debts'!$F$9&lt;&gt;"",'Your debts'!$F$14&lt;'Your debts'!$F$9),AV200,0)+IF(AND('Your debts'!$F$15&lt;&gt;"",'Your debts'!$F$9&lt;&gt;"",'Your debts'!$F$15&lt;'Your debts'!$F$9),BA200,0)))))</f>
        <v/>
      </c>
      <c r="Y200" s="33">
        <f>W200-X200</f>
        <v/>
      </c>
      <c r="Z200" s="33">
        <f>IF(AD199&lt;=0,0,ROUND(AD199*(1+'Your debts'!$D$10/1200),2))</f>
        <v/>
      </c>
      <c r="AA200" s="33">
        <f>IF(Z200&lt;=0,0,MIN('Your debts'!$E$10,Z200))</f>
        <v/>
      </c>
      <c r="AB200" s="33">
        <f>Z200-AA200</f>
        <v/>
      </c>
      <c r="AC200" s="33">
        <f>IF('Your debts'!$F$10="",0,MIN(AB200,MAX(0,MAX(0,'Your debts'!$C$19-(G200+L200+Q200+V200+AA200+AF200+AK200+AP200+AU200+AZ200))-(IF(AND('Your debts'!$F$6&lt;&gt;"",'Your debts'!$F$10&lt;&gt;"",'Your debts'!$F$6&lt;'Your debts'!$F$10),H200,0)+IF(AND('Your debts'!$F$7&lt;&gt;"",'Your debts'!$F$10&lt;&gt;"",'Your debts'!$F$7&lt;'Your debts'!$F$10),M200,0)+IF(AND('Your debts'!$F$8&lt;&gt;"",'Your debts'!$F$10&lt;&gt;"",'Your debts'!$F$8&lt;'Your debts'!$F$10),R200,0)+IF(AND('Your debts'!$F$9&lt;&gt;"",'Your debts'!$F$10&lt;&gt;"",'Your debts'!$F$9&lt;'Your debts'!$F$10),W200,0)+IF(AND('Your debts'!$F$11&lt;&gt;"",'Your debts'!$F$10&lt;&gt;"",'Your debts'!$F$11&lt;'Your debts'!$F$10),AG200,0)+IF(AND('Your debts'!$F$12&lt;&gt;"",'Your debts'!$F$10&lt;&gt;"",'Your debts'!$F$12&lt;'Your debts'!$F$10),AL200,0)+IF(AND('Your debts'!$F$13&lt;&gt;"",'Your debts'!$F$10&lt;&gt;"",'Your debts'!$F$13&lt;'Your debts'!$F$10),AQ200,0)+IF(AND('Your debts'!$F$14&lt;&gt;"",'Your debts'!$F$10&lt;&gt;"",'Your debts'!$F$14&lt;'Your debts'!$F$10),AV200,0)+IF(AND('Your debts'!$F$15&lt;&gt;"",'Your debts'!$F$10&lt;&gt;"",'Your debts'!$F$15&lt;'Your debts'!$F$10),BA200,0)))))</f>
        <v/>
      </c>
      <c r="AD200" s="33">
        <f>AB200-AC200</f>
        <v/>
      </c>
      <c r="AE200" s="33">
        <f>IF(AI199&lt;=0,0,ROUND(AI199*(1+'Your debts'!$D$11/1200),2))</f>
        <v/>
      </c>
      <c r="AF200" s="33">
        <f>IF(AE200&lt;=0,0,MIN('Your debts'!$E$11,AE200))</f>
        <v/>
      </c>
      <c r="AG200" s="33">
        <f>AE200-AF200</f>
        <v/>
      </c>
      <c r="AH200" s="33">
        <f>IF('Your debts'!$F$11="",0,MIN(AG200,MAX(0,MAX(0,'Your debts'!$C$19-(G200+L200+Q200+V200+AA200+AF200+AK200+AP200+AU200+AZ200))-(IF(AND('Your debts'!$F$6&lt;&gt;"",'Your debts'!$F$11&lt;&gt;"",'Your debts'!$F$6&lt;'Your debts'!$F$11),H200,0)+IF(AND('Your debts'!$F$7&lt;&gt;"",'Your debts'!$F$11&lt;&gt;"",'Your debts'!$F$7&lt;'Your debts'!$F$11),M200,0)+IF(AND('Your debts'!$F$8&lt;&gt;"",'Your debts'!$F$11&lt;&gt;"",'Your debts'!$F$8&lt;'Your debts'!$F$11),R200,0)+IF(AND('Your debts'!$F$9&lt;&gt;"",'Your debts'!$F$11&lt;&gt;"",'Your debts'!$F$9&lt;'Your debts'!$F$11),W200,0)+IF(AND('Your debts'!$F$10&lt;&gt;"",'Your debts'!$F$11&lt;&gt;"",'Your debts'!$F$10&lt;'Your debts'!$F$11),AB200,0)+IF(AND('Your debts'!$F$12&lt;&gt;"",'Your debts'!$F$11&lt;&gt;"",'Your debts'!$F$12&lt;'Your debts'!$F$11),AL200,0)+IF(AND('Your debts'!$F$13&lt;&gt;"",'Your debts'!$F$11&lt;&gt;"",'Your debts'!$F$13&lt;'Your debts'!$F$11),AQ200,0)+IF(AND('Your debts'!$F$14&lt;&gt;"",'Your debts'!$F$11&lt;&gt;"",'Your debts'!$F$14&lt;'Your debts'!$F$11),AV200,0)+IF(AND('Your debts'!$F$15&lt;&gt;"",'Your debts'!$F$11&lt;&gt;"",'Your debts'!$F$15&lt;'Your debts'!$F$11),BA200,0)))))</f>
        <v/>
      </c>
      <c r="AI200" s="33">
        <f>AG200-AH200</f>
        <v/>
      </c>
      <c r="AJ200" s="33">
        <f>IF(AN199&lt;=0,0,ROUND(AN199*(1+'Your debts'!$D$12/1200),2))</f>
        <v/>
      </c>
      <c r="AK200" s="33">
        <f>IF(AJ200&lt;=0,0,MIN('Your debts'!$E$12,AJ200))</f>
        <v/>
      </c>
      <c r="AL200" s="33">
        <f>AJ200-AK200</f>
        <v/>
      </c>
      <c r="AM200" s="33">
        <f>IF('Your debts'!$F$12="",0,MIN(AL200,MAX(0,MAX(0,'Your debts'!$C$19-(G200+L200+Q200+V200+AA200+AF200+AK200+AP200+AU200+AZ200))-(IF(AND('Your debts'!$F$6&lt;&gt;"",'Your debts'!$F$12&lt;&gt;"",'Your debts'!$F$6&lt;'Your debts'!$F$12),H200,0)+IF(AND('Your debts'!$F$7&lt;&gt;"",'Your debts'!$F$12&lt;&gt;"",'Your debts'!$F$7&lt;'Your debts'!$F$12),M200,0)+IF(AND('Your debts'!$F$8&lt;&gt;"",'Your debts'!$F$12&lt;&gt;"",'Your debts'!$F$8&lt;'Your debts'!$F$12),R200,0)+IF(AND('Your debts'!$F$9&lt;&gt;"",'Your debts'!$F$12&lt;&gt;"",'Your debts'!$F$9&lt;'Your debts'!$F$12),W200,0)+IF(AND('Your debts'!$F$10&lt;&gt;"",'Your debts'!$F$12&lt;&gt;"",'Your debts'!$F$10&lt;'Your debts'!$F$12),AB200,0)+IF(AND('Your debts'!$F$11&lt;&gt;"",'Your debts'!$F$12&lt;&gt;"",'Your debts'!$F$11&lt;'Your debts'!$F$12),AG200,0)+IF(AND('Your debts'!$F$13&lt;&gt;"",'Your debts'!$F$12&lt;&gt;"",'Your debts'!$F$13&lt;'Your debts'!$F$12),AQ200,0)+IF(AND('Your debts'!$F$14&lt;&gt;"",'Your debts'!$F$12&lt;&gt;"",'Your debts'!$F$14&lt;'Your debts'!$F$12),AV200,0)+IF(AND('Your debts'!$F$15&lt;&gt;"",'Your debts'!$F$12&lt;&gt;"",'Your debts'!$F$15&lt;'Your debts'!$F$12),BA200,0)))))</f>
        <v/>
      </c>
      <c r="AN200" s="33">
        <f>AL200-AM200</f>
        <v/>
      </c>
      <c r="AO200" s="33">
        <f>IF(AS199&lt;=0,0,ROUND(AS199*(1+'Your debts'!$D$13/1200),2))</f>
        <v/>
      </c>
      <c r="AP200" s="33">
        <f>IF(AO200&lt;=0,0,MIN('Your debts'!$E$13,AO200))</f>
        <v/>
      </c>
      <c r="AQ200" s="33">
        <f>AO200-AP200</f>
        <v/>
      </c>
      <c r="AR200" s="33">
        <f>IF('Your debts'!$F$13="",0,MIN(AQ200,MAX(0,MAX(0,'Your debts'!$C$19-(G200+L200+Q200+V200+AA200+AF200+AK200+AP200+AU200+AZ200))-(IF(AND('Your debts'!$F$6&lt;&gt;"",'Your debts'!$F$13&lt;&gt;"",'Your debts'!$F$6&lt;'Your debts'!$F$13),H200,0)+IF(AND('Your debts'!$F$7&lt;&gt;"",'Your debts'!$F$13&lt;&gt;"",'Your debts'!$F$7&lt;'Your debts'!$F$13),M200,0)+IF(AND('Your debts'!$F$8&lt;&gt;"",'Your debts'!$F$13&lt;&gt;"",'Your debts'!$F$8&lt;'Your debts'!$F$13),R200,0)+IF(AND('Your debts'!$F$9&lt;&gt;"",'Your debts'!$F$13&lt;&gt;"",'Your debts'!$F$9&lt;'Your debts'!$F$13),W200,0)+IF(AND('Your debts'!$F$10&lt;&gt;"",'Your debts'!$F$13&lt;&gt;"",'Your debts'!$F$10&lt;'Your debts'!$F$13),AB200,0)+IF(AND('Your debts'!$F$11&lt;&gt;"",'Your debts'!$F$13&lt;&gt;"",'Your debts'!$F$11&lt;'Your debts'!$F$13),AG200,0)+IF(AND('Your debts'!$F$12&lt;&gt;"",'Your debts'!$F$13&lt;&gt;"",'Your debts'!$F$12&lt;'Your debts'!$F$13),AL200,0)+IF(AND('Your debts'!$F$14&lt;&gt;"",'Your debts'!$F$13&lt;&gt;"",'Your debts'!$F$14&lt;'Your debts'!$F$13),AV200,0)+IF(AND('Your debts'!$F$15&lt;&gt;"",'Your debts'!$F$13&lt;&gt;"",'Your debts'!$F$15&lt;'Your debts'!$F$13),BA200,0)))))</f>
        <v/>
      </c>
      <c r="AS200" s="33">
        <f>AQ200-AR200</f>
        <v/>
      </c>
      <c r="AT200" s="33">
        <f>IF(AX199&lt;=0,0,ROUND(AX199*(1+'Your debts'!$D$14/1200),2))</f>
        <v/>
      </c>
      <c r="AU200" s="33">
        <f>IF(AT200&lt;=0,0,MIN('Your debts'!$E$14,AT200))</f>
        <v/>
      </c>
      <c r="AV200" s="33">
        <f>AT200-AU200</f>
        <v/>
      </c>
      <c r="AW200" s="33">
        <f>IF('Your debts'!$F$14="",0,MIN(AV200,MAX(0,MAX(0,'Your debts'!$C$19-(G200+L200+Q200+V200+AA200+AF200+AK200+AP200+AU200+AZ200))-(IF(AND('Your debts'!$F$6&lt;&gt;"",'Your debts'!$F$14&lt;&gt;"",'Your debts'!$F$6&lt;'Your debts'!$F$14),H200,0)+IF(AND('Your debts'!$F$7&lt;&gt;"",'Your debts'!$F$14&lt;&gt;"",'Your debts'!$F$7&lt;'Your debts'!$F$14),M200,0)+IF(AND('Your debts'!$F$8&lt;&gt;"",'Your debts'!$F$14&lt;&gt;"",'Your debts'!$F$8&lt;'Your debts'!$F$14),R200,0)+IF(AND('Your debts'!$F$9&lt;&gt;"",'Your debts'!$F$14&lt;&gt;"",'Your debts'!$F$9&lt;'Your debts'!$F$14),W200,0)+IF(AND('Your debts'!$F$10&lt;&gt;"",'Your debts'!$F$14&lt;&gt;"",'Your debts'!$F$10&lt;'Your debts'!$F$14),AB200,0)+IF(AND('Your debts'!$F$11&lt;&gt;"",'Your debts'!$F$14&lt;&gt;"",'Your debts'!$F$11&lt;'Your debts'!$F$14),AG200,0)+IF(AND('Your debts'!$F$12&lt;&gt;"",'Your debts'!$F$14&lt;&gt;"",'Your debts'!$F$12&lt;'Your debts'!$F$14),AL200,0)+IF(AND('Your debts'!$F$13&lt;&gt;"",'Your debts'!$F$14&lt;&gt;"",'Your debts'!$F$13&lt;'Your debts'!$F$14),AQ200,0)+IF(AND('Your debts'!$F$15&lt;&gt;"",'Your debts'!$F$14&lt;&gt;"",'Your debts'!$F$15&lt;'Your debts'!$F$14),BA200,0)))))</f>
        <v/>
      </c>
      <c r="AX200" s="33">
        <f>AV200-AW200</f>
        <v/>
      </c>
      <c r="AY200" s="33">
        <f>IF(BC199&lt;=0,0,ROUND(BC199*(1+'Your debts'!$D$15/1200),2))</f>
        <v/>
      </c>
      <c r="AZ200" s="33">
        <f>IF(AY200&lt;=0,0,MIN('Your debts'!$E$15,AY200))</f>
        <v/>
      </c>
      <c r="BA200" s="33">
        <f>AY200-AZ200</f>
        <v/>
      </c>
      <c r="BB200" s="33">
        <f>IF('Your debts'!$F$15="",0,MIN(BA200,MAX(0,MAX(0,'Your debts'!$C$19-(G200+L200+Q200+V200+AA200+AF200+AK200+AP200+AU200+AZ200))-(IF(AND('Your debts'!$F$6&lt;&gt;"",'Your debts'!$F$15&lt;&gt;"",'Your debts'!$F$6&lt;'Your debts'!$F$15),H200,0)+IF(AND('Your debts'!$F$7&lt;&gt;"",'Your debts'!$F$15&lt;&gt;"",'Your debts'!$F$7&lt;'Your debts'!$F$15),M200,0)+IF(AND('Your debts'!$F$8&lt;&gt;"",'Your debts'!$F$15&lt;&gt;"",'Your debts'!$F$8&lt;'Your debts'!$F$15),R200,0)+IF(AND('Your debts'!$F$9&lt;&gt;"",'Your debts'!$F$15&lt;&gt;"",'Your debts'!$F$9&lt;'Your debts'!$F$15),W200,0)+IF(AND('Your debts'!$F$10&lt;&gt;"",'Your debts'!$F$15&lt;&gt;"",'Your debts'!$F$10&lt;'Your debts'!$F$15),AB200,0)+IF(AND('Your debts'!$F$11&lt;&gt;"",'Your debts'!$F$15&lt;&gt;"",'Your debts'!$F$11&lt;'Your debts'!$F$15),AG200,0)+IF(AND('Your debts'!$F$12&lt;&gt;"",'Your debts'!$F$15&lt;&gt;"",'Your debts'!$F$12&lt;'Your debts'!$F$15),AL200,0)+IF(AND('Your debts'!$F$13&lt;&gt;"",'Your debts'!$F$15&lt;&gt;"",'Your debts'!$F$13&lt;'Your debts'!$F$15),AQ200,0)+IF(AND('Your debts'!$F$14&lt;&gt;"",'Your debts'!$F$15&lt;&gt;"",'Your debts'!$F$14&lt;'Your debts'!$F$15),AV200,0)))))</f>
        <v/>
      </c>
      <c r="BC200" s="33">
        <f>BA200-BB200</f>
        <v/>
      </c>
    </row>
    <row r="201">
      <c r="A201" s="30" t="n">
        <v>186</v>
      </c>
      <c r="B201" s="31">
        <f>EDATE($B$15,186)</f>
        <v/>
      </c>
      <c r="C201" s="32">
        <f>IF(J200&lt;=0,0,F201-J200)+IF(O200&lt;=0,0,K201-O200)+IF(T200&lt;=0,0,P201-T200)+IF(Y200&lt;=0,0,U201-Y200)+IF(AD200&lt;=0,0,Z201-AD200)+IF(AI200&lt;=0,0,AE201-AI200)+IF(AN200&lt;=0,0,AJ201-AN200)+IF(AS200&lt;=0,0,AO201-AS200)+IF(AX200&lt;=0,0,AT201-AX200)+IF(BC200&lt;=0,0,AY201-BC200)</f>
        <v/>
      </c>
      <c r="D201" s="32">
        <f>G201+I201+L201+N201+Q201+S201+V201+X201+AA201+AC201+AF201+AH201+AK201+AM201+AP201+AR201+AU201+AW201+AZ201+BB201</f>
        <v/>
      </c>
      <c r="E201" s="32">
        <f>J201+O201+T201+Y201+AD201+AI201+AN201+AS201+AX201+BC201</f>
        <v/>
      </c>
      <c r="F201" s="33">
        <f>IF(J200&lt;=0,0,ROUND(J200*(1+'Your debts'!$D$6/1200),2))</f>
        <v/>
      </c>
      <c r="G201" s="33">
        <f>IF(F201&lt;=0,0,MIN('Your debts'!$E$6,F201))</f>
        <v/>
      </c>
      <c r="H201" s="33">
        <f>F201-G201</f>
        <v/>
      </c>
      <c r="I201" s="33">
        <f>IF('Your debts'!$F$6="",0,MIN(H201,MAX(0,MAX(0,'Your debts'!$C$19-(G201+L201+Q201+V201+AA201+AF201+AK201+AP201+AU201+AZ201))-(IF(AND('Your debts'!$F$7&lt;&gt;"",'Your debts'!$F$6&lt;&gt;"",'Your debts'!$F$7&lt;'Your debts'!$F$6),M201,0)+IF(AND('Your debts'!$F$8&lt;&gt;"",'Your debts'!$F$6&lt;&gt;"",'Your debts'!$F$8&lt;'Your debts'!$F$6),R201,0)+IF(AND('Your debts'!$F$9&lt;&gt;"",'Your debts'!$F$6&lt;&gt;"",'Your debts'!$F$9&lt;'Your debts'!$F$6),W201,0)+IF(AND('Your debts'!$F$10&lt;&gt;"",'Your debts'!$F$6&lt;&gt;"",'Your debts'!$F$10&lt;'Your debts'!$F$6),AB201,0)+IF(AND('Your debts'!$F$11&lt;&gt;"",'Your debts'!$F$6&lt;&gt;"",'Your debts'!$F$11&lt;'Your debts'!$F$6),AG201,0)+IF(AND('Your debts'!$F$12&lt;&gt;"",'Your debts'!$F$6&lt;&gt;"",'Your debts'!$F$12&lt;'Your debts'!$F$6),AL201,0)+IF(AND('Your debts'!$F$13&lt;&gt;"",'Your debts'!$F$6&lt;&gt;"",'Your debts'!$F$13&lt;'Your debts'!$F$6),AQ201,0)+IF(AND('Your debts'!$F$14&lt;&gt;"",'Your debts'!$F$6&lt;&gt;"",'Your debts'!$F$14&lt;'Your debts'!$F$6),AV201,0)+IF(AND('Your debts'!$F$15&lt;&gt;"",'Your debts'!$F$6&lt;&gt;"",'Your debts'!$F$15&lt;'Your debts'!$F$6),BA201,0)))))</f>
        <v/>
      </c>
      <c r="J201" s="33">
        <f>H201-I201</f>
        <v/>
      </c>
      <c r="K201" s="33">
        <f>IF(O200&lt;=0,0,ROUND(O200*(1+'Your debts'!$D$7/1200),2))</f>
        <v/>
      </c>
      <c r="L201" s="33">
        <f>IF(K201&lt;=0,0,MIN('Your debts'!$E$7,K201))</f>
        <v/>
      </c>
      <c r="M201" s="33">
        <f>K201-L201</f>
        <v/>
      </c>
      <c r="N201" s="33">
        <f>IF('Your debts'!$F$7="",0,MIN(M201,MAX(0,MAX(0,'Your debts'!$C$19-(G201+L201+Q201+V201+AA201+AF201+AK201+AP201+AU201+AZ201))-(IF(AND('Your debts'!$F$6&lt;&gt;"",'Your debts'!$F$7&lt;&gt;"",'Your debts'!$F$6&lt;'Your debts'!$F$7),H201,0)+IF(AND('Your debts'!$F$8&lt;&gt;"",'Your debts'!$F$7&lt;&gt;"",'Your debts'!$F$8&lt;'Your debts'!$F$7),R201,0)+IF(AND('Your debts'!$F$9&lt;&gt;"",'Your debts'!$F$7&lt;&gt;"",'Your debts'!$F$9&lt;'Your debts'!$F$7),W201,0)+IF(AND('Your debts'!$F$10&lt;&gt;"",'Your debts'!$F$7&lt;&gt;"",'Your debts'!$F$10&lt;'Your debts'!$F$7),AB201,0)+IF(AND('Your debts'!$F$11&lt;&gt;"",'Your debts'!$F$7&lt;&gt;"",'Your debts'!$F$11&lt;'Your debts'!$F$7),AG201,0)+IF(AND('Your debts'!$F$12&lt;&gt;"",'Your debts'!$F$7&lt;&gt;"",'Your debts'!$F$12&lt;'Your debts'!$F$7),AL201,0)+IF(AND('Your debts'!$F$13&lt;&gt;"",'Your debts'!$F$7&lt;&gt;"",'Your debts'!$F$13&lt;'Your debts'!$F$7),AQ201,0)+IF(AND('Your debts'!$F$14&lt;&gt;"",'Your debts'!$F$7&lt;&gt;"",'Your debts'!$F$14&lt;'Your debts'!$F$7),AV201,0)+IF(AND('Your debts'!$F$15&lt;&gt;"",'Your debts'!$F$7&lt;&gt;"",'Your debts'!$F$15&lt;'Your debts'!$F$7),BA201,0)))))</f>
        <v/>
      </c>
      <c r="O201" s="33">
        <f>M201-N201</f>
        <v/>
      </c>
      <c r="P201" s="33">
        <f>IF(T200&lt;=0,0,ROUND(T200*(1+'Your debts'!$D$8/1200),2))</f>
        <v/>
      </c>
      <c r="Q201" s="33">
        <f>IF(P201&lt;=0,0,MIN('Your debts'!$E$8,P201))</f>
        <v/>
      </c>
      <c r="R201" s="33">
        <f>P201-Q201</f>
        <v/>
      </c>
      <c r="S201" s="33">
        <f>IF('Your debts'!$F$8="",0,MIN(R201,MAX(0,MAX(0,'Your debts'!$C$19-(G201+L201+Q201+V201+AA201+AF201+AK201+AP201+AU201+AZ201))-(IF(AND('Your debts'!$F$6&lt;&gt;"",'Your debts'!$F$8&lt;&gt;"",'Your debts'!$F$6&lt;'Your debts'!$F$8),H201,0)+IF(AND('Your debts'!$F$7&lt;&gt;"",'Your debts'!$F$8&lt;&gt;"",'Your debts'!$F$7&lt;'Your debts'!$F$8),M201,0)+IF(AND('Your debts'!$F$9&lt;&gt;"",'Your debts'!$F$8&lt;&gt;"",'Your debts'!$F$9&lt;'Your debts'!$F$8),W201,0)+IF(AND('Your debts'!$F$10&lt;&gt;"",'Your debts'!$F$8&lt;&gt;"",'Your debts'!$F$10&lt;'Your debts'!$F$8),AB201,0)+IF(AND('Your debts'!$F$11&lt;&gt;"",'Your debts'!$F$8&lt;&gt;"",'Your debts'!$F$11&lt;'Your debts'!$F$8),AG201,0)+IF(AND('Your debts'!$F$12&lt;&gt;"",'Your debts'!$F$8&lt;&gt;"",'Your debts'!$F$12&lt;'Your debts'!$F$8),AL201,0)+IF(AND('Your debts'!$F$13&lt;&gt;"",'Your debts'!$F$8&lt;&gt;"",'Your debts'!$F$13&lt;'Your debts'!$F$8),AQ201,0)+IF(AND('Your debts'!$F$14&lt;&gt;"",'Your debts'!$F$8&lt;&gt;"",'Your debts'!$F$14&lt;'Your debts'!$F$8),AV201,0)+IF(AND('Your debts'!$F$15&lt;&gt;"",'Your debts'!$F$8&lt;&gt;"",'Your debts'!$F$15&lt;'Your debts'!$F$8),BA201,0)))))</f>
        <v/>
      </c>
      <c r="T201" s="33">
        <f>R201-S201</f>
        <v/>
      </c>
      <c r="U201" s="33">
        <f>IF(Y200&lt;=0,0,ROUND(Y200*(1+'Your debts'!$D$9/1200),2))</f>
        <v/>
      </c>
      <c r="V201" s="33">
        <f>IF(U201&lt;=0,0,MIN('Your debts'!$E$9,U201))</f>
        <v/>
      </c>
      <c r="W201" s="33">
        <f>U201-V201</f>
        <v/>
      </c>
      <c r="X201" s="33">
        <f>IF('Your debts'!$F$9="",0,MIN(W201,MAX(0,MAX(0,'Your debts'!$C$19-(G201+L201+Q201+V201+AA201+AF201+AK201+AP201+AU201+AZ201))-(IF(AND('Your debts'!$F$6&lt;&gt;"",'Your debts'!$F$9&lt;&gt;"",'Your debts'!$F$6&lt;'Your debts'!$F$9),H201,0)+IF(AND('Your debts'!$F$7&lt;&gt;"",'Your debts'!$F$9&lt;&gt;"",'Your debts'!$F$7&lt;'Your debts'!$F$9),M201,0)+IF(AND('Your debts'!$F$8&lt;&gt;"",'Your debts'!$F$9&lt;&gt;"",'Your debts'!$F$8&lt;'Your debts'!$F$9),R201,0)+IF(AND('Your debts'!$F$10&lt;&gt;"",'Your debts'!$F$9&lt;&gt;"",'Your debts'!$F$10&lt;'Your debts'!$F$9),AB201,0)+IF(AND('Your debts'!$F$11&lt;&gt;"",'Your debts'!$F$9&lt;&gt;"",'Your debts'!$F$11&lt;'Your debts'!$F$9),AG201,0)+IF(AND('Your debts'!$F$12&lt;&gt;"",'Your debts'!$F$9&lt;&gt;"",'Your debts'!$F$12&lt;'Your debts'!$F$9),AL201,0)+IF(AND('Your debts'!$F$13&lt;&gt;"",'Your debts'!$F$9&lt;&gt;"",'Your debts'!$F$13&lt;'Your debts'!$F$9),AQ201,0)+IF(AND('Your debts'!$F$14&lt;&gt;"",'Your debts'!$F$9&lt;&gt;"",'Your debts'!$F$14&lt;'Your debts'!$F$9),AV201,0)+IF(AND('Your debts'!$F$15&lt;&gt;"",'Your debts'!$F$9&lt;&gt;"",'Your debts'!$F$15&lt;'Your debts'!$F$9),BA201,0)))))</f>
        <v/>
      </c>
      <c r="Y201" s="33">
        <f>W201-X201</f>
        <v/>
      </c>
      <c r="Z201" s="33">
        <f>IF(AD200&lt;=0,0,ROUND(AD200*(1+'Your debts'!$D$10/1200),2))</f>
        <v/>
      </c>
      <c r="AA201" s="33">
        <f>IF(Z201&lt;=0,0,MIN('Your debts'!$E$10,Z201))</f>
        <v/>
      </c>
      <c r="AB201" s="33">
        <f>Z201-AA201</f>
        <v/>
      </c>
      <c r="AC201" s="33">
        <f>IF('Your debts'!$F$10="",0,MIN(AB201,MAX(0,MAX(0,'Your debts'!$C$19-(G201+L201+Q201+V201+AA201+AF201+AK201+AP201+AU201+AZ201))-(IF(AND('Your debts'!$F$6&lt;&gt;"",'Your debts'!$F$10&lt;&gt;"",'Your debts'!$F$6&lt;'Your debts'!$F$10),H201,0)+IF(AND('Your debts'!$F$7&lt;&gt;"",'Your debts'!$F$10&lt;&gt;"",'Your debts'!$F$7&lt;'Your debts'!$F$10),M201,0)+IF(AND('Your debts'!$F$8&lt;&gt;"",'Your debts'!$F$10&lt;&gt;"",'Your debts'!$F$8&lt;'Your debts'!$F$10),R201,0)+IF(AND('Your debts'!$F$9&lt;&gt;"",'Your debts'!$F$10&lt;&gt;"",'Your debts'!$F$9&lt;'Your debts'!$F$10),W201,0)+IF(AND('Your debts'!$F$11&lt;&gt;"",'Your debts'!$F$10&lt;&gt;"",'Your debts'!$F$11&lt;'Your debts'!$F$10),AG201,0)+IF(AND('Your debts'!$F$12&lt;&gt;"",'Your debts'!$F$10&lt;&gt;"",'Your debts'!$F$12&lt;'Your debts'!$F$10),AL201,0)+IF(AND('Your debts'!$F$13&lt;&gt;"",'Your debts'!$F$10&lt;&gt;"",'Your debts'!$F$13&lt;'Your debts'!$F$10),AQ201,0)+IF(AND('Your debts'!$F$14&lt;&gt;"",'Your debts'!$F$10&lt;&gt;"",'Your debts'!$F$14&lt;'Your debts'!$F$10),AV201,0)+IF(AND('Your debts'!$F$15&lt;&gt;"",'Your debts'!$F$10&lt;&gt;"",'Your debts'!$F$15&lt;'Your debts'!$F$10),BA201,0)))))</f>
        <v/>
      </c>
      <c r="AD201" s="33">
        <f>AB201-AC201</f>
        <v/>
      </c>
      <c r="AE201" s="33">
        <f>IF(AI200&lt;=0,0,ROUND(AI200*(1+'Your debts'!$D$11/1200),2))</f>
        <v/>
      </c>
      <c r="AF201" s="33">
        <f>IF(AE201&lt;=0,0,MIN('Your debts'!$E$11,AE201))</f>
        <v/>
      </c>
      <c r="AG201" s="33">
        <f>AE201-AF201</f>
        <v/>
      </c>
      <c r="AH201" s="33">
        <f>IF('Your debts'!$F$11="",0,MIN(AG201,MAX(0,MAX(0,'Your debts'!$C$19-(G201+L201+Q201+V201+AA201+AF201+AK201+AP201+AU201+AZ201))-(IF(AND('Your debts'!$F$6&lt;&gt;"",'Your debts'!$F$11&lt;&gt;"",'Your debts'!$F$6&lt;'Your debts'!$F$11),H201,0)+IF(AND('Your debts'!$F$7&lt;&gt;"",'Your debts'!$F$11&lt;&gt;"",'Your debts'!$F$7&lt;'Your debts'!$F$11),M201,0)+IF(AND('Your debts'!$F$8&lt;&gt;"",'Your debts'!$F$11&lt;&gt;"",'Your debts'!$F$8&lt;'Your debts'!$F$11),R201,0)+IF(AND('Your debts'!$F$9&lt;&gt;"",'Your debts'!$F$11&lt;&gt;"",'Your debts'!$F$9&lt;'Your debts'!$F$11),W201,0)+IF(AND('Your debts'!$F$10&lt;&gt;"",'Your debts'!$F$11&lt;&gt;"",'Your debts'!$F$10&lt;'Your debts'!$F$11),AB201,0)+IF(AND('Your debts'!$F$12&lt;&gt;"",'Your debts'!$F$11&lt;&gt;"",'Your debts'!$F$12&lt;'Your debts'!$F$11),AL201,0)+IF(AND('Your debts'!$F$13&lt;&gt;"",'Your debts'!$F$11&lt;&gt;"",'Your debts'!$F$13&lt;'Your debts'!$F$11),AQ201,0)+IF(AND('Your debts'!$F$14&lt;&gt;"",'Your debts'!$F$11&lt;&gt;"",'Your debts'!$F$14&lt;'Your debts'!$F$11),AV201,0)+IF(AND('Your debts'!$F$15&lt;&gt;"",'Your debts'!$F$11&lt;&gt;"",'Your debts'!$F$15&lt;'Your debts'!$F$11),BA201,0)))))</f>
        <v/>
      </c>
      <c r="AI201" s="33">
        <f>AG201-AH201</f>
        <v/>
      </c>
      <c r="AJ201" s="33">
        <f>IF(AN200&lt;=0,0,ROUND(AN200*(1+'Your debts'!$D$12/1200),2))</f>
        <v/>
      </c>
      <c r="AK201" s="33">
        <f>IF(AJ201&lt;=0,0,MIN('Your debts'!$E$12,AJ201))</f>
        <v/>
      </c>
      <c r="AL201" s="33">
        <f>AJ201-AK201</f>
        <v/>
      </c>
      <c r="AM201" s="33">
        <f>IF('Your debts'!$F$12="",0,MIN(AL201,MAX(0,MAX(0,'Your debts'!$C$19-(G201+L201+Q201+V201+AA201+AF201+AK201+AP201+AU201+AZ201))-(IF(AND('Your debts'!$F$6&lt;&gt;"",'Your debts'!$F$12&lt;&gt;"",'Your debts'!$F$6&lt;'Your debts'!$F$12),H201,0)+IF(AND('Your debts'!$F$7&lt;&gt;"",'Your debts'!$F$12&lt;&gt;"",'Your debts'!$F$7&lt;'Your debts'!$F$12),M201,0)+IF(AND('Your debts'!$F$8&lt;&gt;"",'Your debts'!$F$12&lt;&gt;"",'Your debts'!$F$8&lt;'Your debts'!$F$12),R201,0)+IF(AND('Your debts'!$F$9&lt;&gt;"",'Your debts'!$F$12&lt;&gt;"",'Your debts'!$F$9&lt;'Your debts'!$F$12),W201,0)+IF(AND('Your debts'!$F$10&lt;&gt;"",'Your debts'!$F$12&lt;&gt;"",'Your debts'!$F$10&lt;'Your debts'!$F$12),AB201,0)+IF(AND('Your debts'!$F$11&lt;&gt;"",'Your debts'!$F$12&lt;&gt;"",'Your debts'!$F$11&lt;'Your debts'!$F$12),AG201,0)+IF(AND('Your debts'!$F$13&lt;&gt;"",'Your debts'!$F$12&lt;&gt;"",'Your debts'!$F$13&lt;'Your debts'!$F$12),AQ201,0)+IF(AND('Your debts'!$F$14&lt;&gt;"",'Your debts'!$F$12&lt;&gt;"",'Your debts'!$F$14&lt;'Your debts'!$F$12),AV201,0)+IF(AND('Your debts'!$F$15&lt;&gt;"",'Your debts'!$F$12&lt;&gt;"",'Your debts'!$F$15&lt;'Your debts'!$F$12),BA201,0)))))</f>
        <v/>
      </c>
      <c r="AN201" s="33">
        <f>AL201-AM201</f>
        <v/>
      </c>
      <c r="AO201" s="33">
        <f>IF(AS200&lt;=0,0,ROUND(AS200*(1+'Your debts'!$D$13/1200),2))</f>
        <v/>
      </c>
      <c r="AP201" s="33">
        <f>IF(AO201&lt;=0,0,MIN('Your debts'!$E$13,AO201))</f>
        <v/>
      </c>
      <c r="AQ201" s="33">
        <f>AO201-AP201</f>
        <v/>
      </c>
      <c r="AR201" s="33">
        <f>IF('Your debts'!$F$13="",0,MIN(AQ201,MAX(0,MAX(0,'Your debts'!$C$19-(G201+L201+Q201+V201+AA201+AF201+AK201+AP201+AU201+AZ201))-(IF(AND('Your debts'!$F$6&lt;&gt;"",'Your debts'!$F$13&lt;&gt;"",'Your debts'!$F$6&lt;'Your debts'!$F$13),H201,0)+IF(AND('Your debts'!$F$7&lt;&gt;"",'Your debts'!$F$13&lt;&gt;"",'Your debts'!$F$7&lt;'Your debts'!$F$13),M201,0)+IF(AND('Your debts'!$F$8&lt;&gt;"",'Your debts'!$F$13&lt;&gt;"",'Your debts'!$F$8&lt;'Your debts'!$F$13),R201,0)+IF(AND('Your debts'!$F$9&lt;&gt;"",'Your debts'!$F$13&lt;&gt;"",'Your debts'!$F$9&lt;'Your debts'!$F$13),W201,0)+IF(AND('Your debts'!$F$10&lt;&gt;"",'Your debts'!$F$13&lt;&gt;"",'Your debts'!$F$10&lt;'Your debts'!$F$13),AB201,0)+IF(AND('Your debts'!$F$11&lt;&gt;"",'Your debts'!$F$13&lt;&gt;"",'Your debts'!$F$11&lt;'Your debts'!$F$13),AG201,0)+IF(AND('Your debts'!$F$12&lt;&gt;"",'Your debts'!$F$13&lt;&gt;"",'Your debts'!$F$12&lt;'Your debts'!$F$13),AL201,0)+IF(AND('Your debts'!$F$14&lt;&gt;"",'Your debts'!$F$13&lt;&gt;"",'Your debts'!$F$14&lt;'Your debts'!$F$13),AV201,0)+IF(AND('Your debts'!$F$15&lt;&gt;"",'Your debts'!$F$13&lt;&gt;"",'Your debts'!$F$15&lt;'Your debts'!$F$13),BA201,0)))))</f>
        <v/>
      </c>
      <c r="AS201" s="33">
        <f>AQ201-AR201</f>
        <v/>
      </c>
      <c r="AT201" s="33">
        <f>IF(AX200&lt;=0,0,ROUND(AX200*(1+'Your debts'!$D$14/1200),2))</f>
        <v/>
      </c>
      <c r="AU201" s="33">
        <f>IF(AT201&lt;=0,0,MIN('Your debts'!$E$14,AT201))</f>
        <v/>
      </c>
      <c r="AV201" s="33">
        <f>AT201-AU201</f>
        <v/>
      </c>
      <c r="AW201" s="33">
        <f>IF('Your debts'!$F$14="",0,MIN(AV201,MAX(0,MAX(0,'Your debts'!$C$19-(G201+L201+Q201+V201+AA201+AF201+AK201+AP201+AU201+AZ201))-(IF(AND('Your debts'!$F$6&lt;&gt;"",'Your debts'!$F$14&lt;&gt;"",'Your debts'!$F$6&lt;'Your debts'!$F$14),H201,0)+IF(AND('Your debts'!$F$7&lt;&gt;"",'Your debts'!$F$14&lt;&gt;"",'Your debts'!$F$7&lt;'Your debts'!$F$14),M201,0)+IF(AND('Your debts'!$F$8&lt;&gt;"",'Your debts'!$F$14&lt;&gt;"",'Your debts'!$F$8&lt;'Your debts'!$F$14),R201,0)+IF(AND('Your debts'!$F$9&lt;&gt;"",'Your debts'!$F$14&lt;&gt;"",'Your debts'!$F$9&lt;'Your debts'!$F$14),W201,0)+IF(AND('Your debts'!$F$10&lt;&gt;"",'Your debts'!$F$14&lt;&gt;"",'Your debts'!$F$10&lt;'Your debts'!$F$14),AB201,0)+IF(AND('Your debts'!$F$11&lt;&gt;"",'Your debts'!$F$14&lt;&gt;"",'Your debts'!$F$11&lt;'Your debts'!$F$14),AG201,0)+IF(AND('Your debts'!$F$12&lt;&gt;"",'Your debts'!$F$14&lt;&gt;"",'Your debts'!$F$12&lt;'Your debts'!$F$14),AL201,0)+IF(AND('Your debts'!$F$13&lt;&gt;"",'Your debts'!$F$14&lt;&gt;"",'Your debts'!$F$13&lt;'Your debts'!$F$14),AQ201,0)+IF(AND('Your debts'!$F$15&lt;&gt;"",'Your debts'!$F$14&lt;&gt;"",'Your debts'!$F$15&lt;'Your debts'!$F$14),BA201,0)))))</f>
        <v/>
      </c>
      <c r="AX201" s="33">
        <f>AV201-AW201</f>
        <v/>
      </c>
      <c r="AY201" s="33">
        <f>IF(BC200&lt;=0,0,ROUND(BC200*(1+'Your debts'!$D$15/1200),2))</f>
        <v/>
      </c>
      <c r="AZ201" s="33">
        <f>IF(AY201&lt;=0,0,MIN('Your debts'!$E$15,AY201))</f>
        <v/>
      </c>
      <c r="BA201" s="33">
        <f>AY201-AZ201</f>
        <v/>
      </c>
      <c r="BB201" s="33">
        <f>IF('Your debts'!$F$15="",0,MIN(BA201,MAX(0,MAX(0,'Your debts'!$C$19-(G201+L201+Q201+V201+AA201+AF201+AK201+AP201+AU201+AZ201))-(IF(AND('Your debts'!$F$6&lt;&gt;"",'Your debts'!$F$15&lt;&gt;"",'Your debts'!$F$6&lt;'Your debts'!$F$15),H201,0)+IF(AND('Your debts'!$F$7&lt;&gt;"",'Your debts'!$F$15&lt;&gt;"",'Your debts'!$F$7&lt;'Your debts'!$F$15),M201,0)+IF(AND('Your debts'!$F$8&lt;&gt;"",'Your debts'!$F$15&lt;&gt;"",'Your debts'!$F$8&lt;'Your debts'!$F$15),R201,0)+IF(AND('Your debts'!$F$9&lt;&gt;"",'Your debts'!$F$15&lt;&gt;"",'Your debts'!$F$9&lt;'Your debts'!$F$15),W201,0)+IF(AND('Your debts'!$F$10&lt;&gt;"",'Your debts'!$F$15&lt;&gt;"",'Your debts'!$F$10&lt;'Your debts'!$F$15),AB201,0)+IF(AND('Your debts'!$F$11&lt;&gt;"",'Your debts'!$F$15&lt;&gt;"",'Your debts'!$F$11&lt;'Your debts'!$F$15),AG201,0)+IF(AND('Your debts'!$F$12&lt;&gt;"",'Your debts'!$F$15&lt;&gt;"",'Your debts'!$F$12&lt;'Your debts'!$F$15),AL201,0)+IF(AND('Your debts'!$F$13&lt;&gt;"",'Your debts'!$F$15&lt;&gt;"",'Your debts'!$F$13&lt;'Your debts'!$F$15),AQ201,0)+IF(AND('Your debts'!$F$14&lt;&gt;"",'Your debts'!$F$15&lt;&gt;"",'Your debts'!$F$14&lt;'Your debts'!$F$15),AV201,0)))))</f>
        <v/>
      </c>
      <c r="BC201" s="33">
        <f>BA201-BB201</f>
        <v/>
      </c>
    </row>
    <row r="202">
      <c r="A202" s="30" t="n">
        <v>187</v>
      </c>
      <c r="B202" s="31">
        <f>EDATE($B$15,187)</f>
        <v/>
      </c>
      <c r="C202" s="32">
        <f>IF(J201&lt;=0,0,F202-J201)+IF(O201&lt;=0,0,K202-O201)+IF(T201&lt;=0,0,P202-T201)+IF(Y201&lt;=0,0,U202-Y201)+IF(AD201&lt;=0,0,Z202-AD201)+IF(AI201&lt;=0,0,AE202-AI201)+IF(AN201&lt;=0,0,AJ202-AN201)+IF(AS201&lt;=0,0,AO202-AS201)+IF(AX201&lt;=0,0,AT202-AX201)+IF(BC201&lt;=0,0,AY202-BC201)</f>
        <v/>
      </c>
      <c r="D202" s="32">
        <f>G202+I202+L202+N202+Q202+S202+V202+X202+AA202+AC202+AF202+AH202+AK202+AM202+AP202+AR202+AU202+AW202+AZ202+BB202</f>
        <v/>
      </c>
      <c r="E202" s="32">
        <f>J202+O202+T202+Y202+AD202+AI202+AN202+AS202+AX202+BC202</f>
        <v/>
      </c>
      <c r="F202" s="33">
        <f>IF(J201&lt;=0,0,ROUND(J201*(1+'Your debts'!$D$6/1200),2))</f>
        <v/>
      </c>
      <c r="G202" s="33">
        <f>IF(F202&lt;=0,0,MIN('Your debts'!$E$6,F202))</f>
        <v/>
      </c>
      <c r="H202" s="33">
        <f>F202-G202</f>
        <v/>
      </c>
      <c r="I202" s="33">
        <f>IF('Your debts'!$F$6="",0,MIN(H202,MAX(0,MAX(0,'Your debts'!$C$19-(G202+L202+Q202+V202+AA202+AF202+AK202+AP202+AU202+AZ202))-(IF(AND('Your debts'!$F$7&lt;&gt;"",'Your debts'!$F$6&lt;&gt;"",'Your debts'!$F$7&lt;'Your debts'!$F$6),M202,0)+IF(AND('Your debts'!$F$8&lt;&gt;"",'Your debts'!$F$6&lt;&gt;"",'Your debts'!$F$8&lt;'Your debts'!$F$6),R202,0)+IF(AND('Your debts'!$F$9&lt;&gt;"",'Your debts'!$F$6&lt;&gt;"",'Your debts'!$F$9&lt;'Your debts'!$F$6),W202,0)+IF(AND('Your debts'!$F$10&lt;&gt;"",'Your debts'!$F$6&lt;&gt;"",'Your debts'!$F$10&lt;'Your debts'!$F$6),AB202,0)+IF(AND('Your debts'!$F$11&lt;&gt;"",'Your debts'!$F$6&lt;&gt;"",'Your debts'!$F$11&lt;'Your debts'!$F$6),AG202,0)+IF(AND('Your debts'!$F$12&lt;&gt;"",'Your debts'!$F$6&lt;&gt;"",'Your debts'!$F$12&lt;'Your debts'!$F$6),AL202,0)+IF(AND('Your debts'!$F$13&lt;&gt;"",'Your debts'!$F$6&lt;&gt;"",'Your debts'!$F$13&lt;'Your debts'!$F$6),AQ202,0)+IF(AND('Your debts'!$F$14&lt;&gt;"",'Your debts'!$F$6&lt;&gt;"",'Your debts'!$F$14&lt;'Your debts'!$F$6),AV202,0)+IF(AND('Your debts'!$F$15&lt;&gt;"",'Your debts'!$F$6&lt;&gt;"",'Your debts'!$F$15&lt;'Your debts'!$F$6),BA202,0)))))</f>
        <v/>
      </c>
      <c r="J202" s="33">
        <f>H202-I202</f>
        <v/>
      </c>
      <c r="K202" s="33">
        <f>IF(O201&lt;=0,0,ROUND(O201*(1+'Your debts'!$D$7/1200),2))</f>
        <v/>
      </c>
      <c r="L202" s="33">
        <f>IF(K202&lt;=0,0,MIN('Your debts'!$E$7,K202))</f>
        <v/>
      </c>
      <c r="M202" s="33">
        <f>K202-L202</f>
        <v/>
      </c>
      <c r="N202" s="33">
        <f>IF('Your debts'!$F$7="",0,MIN(M202,MAX(0,MAX(0,'Your debts'!$C$19-(G202+L202+Q202+V202+AA202+AF202+AK202+AP202+AU202+AZ202))-(IF(AND('Your debts'!$F$6&lt;&gt;"",'Your debts'!$F$7&lt;&gt;"",'Your debts'!$F$6&lt;'Your debts'!$F$7),H202,0)+IF(AND('Your debts'!$F$8&lt;&gt;"",'Your debts'!$F$7&lt;&gt;"",'Your debts'!$F$8&lt;'Your debts'!$F$7),R202,0)+IF(AND('Your debts'!$F$9&lt;&gt;"",'Your debts'!$F$7&lt;&gt;"",'Your debts'!$F$9&lt;'Your debts'!$F$7),W202,0)+IF(AND('Your debts'!$F$10&lt;&gt;"",'Your debts'!$F$7&lt;&gt;"",'Your debts'!$F$10&lt;'Your debts'!$F$7),AB202,0)+IF(AND('Your debts'!$F$11&lt;&gt;"",'Your debts'!$F$7&lt;&gt;"",'Your debts'!$F$11&lt;'Your debts'!$F$7),AG202,0)+IF(AND('Your debts'!$F$12&lt;&gt;"",'Your debts'!$F$7&lt;&gt;"",'Your debts'!$F$12&lt;'Your debts'!$F$7),AL202,0)+IF(AND('Your debts'!$F$13&lt;&gt;"",'Your debts'!$F$7&lt;&gt;"",'Your debts'!$F$13&lt;'Your debts'!$F$7),AQ202,0)+IF(AND('Your debts'!$F$14&lt;&gt;"",'Your debts'!$F$7&lt;&gt;"",'Your debts'!$F$14&lt;'Your debts'!$F$7),AV202,0)+IF(AND('Your debts'!$F$15&lt;&gt;"",'Your debts'!$F$7&lt;&gt;"",'Your debts'!$F$15&lt;'Your debts'!$F$7),BA202,0)))))</f>
        <v/>
      </c>
      <c r="O202" s="33">
        <f>M202-N202</f>
        <v/>
      </c>
      <c r="P202" s="33">
        <f>IF(T201&lt;=0,0,ROUND(T201*(1+'Your debts'!$D$8/1200),2))</f>
        <v/>
      </c>
      <c r="Q202" s="33">
        <f>IF(P202&lt;=0,0,MIN('Your debts'!$E$8,P202))</f>
        <v/>
      </c>
      <c r="R202" s="33">
        <f>P202-Q202</f>
        <v/>
      </c>
      <c r="S202" s="33">
        <f>IF('Your debts'!$F$8="",0,MIN(R202,MAX(0,MAX(0,'Your debts'!$C$19-(G202+L202+Q202+V202+AA202+AF202+AK202+AP202+AU202+AZ202))-(IF(AND('Your debts'!$F$6&lt;&gt;"",'Your debts'!$F$8&lt;&gt;"",'Your debts'!$F$6&lt;'Your debts'!$F$8),H202,0)+IF(AND('Your debts'!$F$7&lt;&gt;"",'Your debts'!$F$8&lt;&gt;"",'Your debts'!$F$7&lt;'Your debts'!$F$8),M202,0)+IF(AND('Your debts'!$F$9&lt;&gt;"",'Your debts'!$F$8&lt;&gt;"",'Your debts'!$F$9&lt;'Your debts'!$F$8),W202,0)+IF(AND('Your debts'!$F$10&lt;&gt;"",'Your debts'!$F$8&lt;&gt;"",'Your debts'!$F$10&lt;'Your debts'!$F$8),AB202,0)+IF(AND('Your debts'!$F$11&lt;&gt;"",'Your debts'!$F$8&lt;&gt;"",'Your debts'!$F$11&lt;'Your debts'!$F$8),AG202,0)+IF(AND('Your debts'!$F$12&lt;&gt;"",'Your debts'!$F$8&lt;&gt;"",'Your debts'!$F$12&lt;'Your debts'!$F$8),AL202,0)+IF(AND('Your debts'!$F$13&lt;&gt;"",'Your debts'!$F$8&lt;&gt;"",'Your debts'!$F$13&lt;'Your debts'!$F$8),AQ202,0)+IF(AND('Your debts'!$F$14&lt;&gt;"",'Your debts'!$F$8&lt;&gt;"",'Your debts'!$F$14&lt;'Your debts'!$F$8),AV202,0)+IF(AND('Your debts'!$F$15&lt;&gt;"",'Your debts'!$F$8&lt;&gt;"",'Your debts'!$F$15&lt;'Your debts'!$F$8),BA202,0)))))</f>
        <v/>
      </c>
      <c r="T202" s="33">
        <f>R202-S202</f>
        <v/>
      </c>
      <c r="U202" s="33">
        <f>IF(Y201&lt;=0,0,ROUND(Y201*(1+'Your debts'!$D$9/1200),2))</f>
        <v/>
      </c>
      <c r="V202" s="33">
        <f>IF(U202&lt;=0,0,MIN('Your debts'!$E$9,U202))</f>
        <v/>
      </c>
      <c r="W202" s="33">
        <f>U202-V202</f>
        <v/>
      </c>
      <c r="X202" s="33">
        <f>IF('Your debts'!$F$9="",0,MIN(W202,MAX(0,MAX(0,'Your debts'!$C$19-(G202+L202+Q202+V202+AA202+AF202+AK202+AP202+AU202+AZ202))-(IF(AND('Your debts'!$F$6&lt;&gt;"",'Your debts'!$F$9&lt;&gt;"",'Your debts'!$F$6&lt;'Your debts'!$F$9),H202,0)+IF(AND('Your debts'!$F$7&lt;&gt;"",'Your debts'!$F$9&lt;&gt;"",'Your debts'!$F$7&lt;'Your debts'!$F$9),M202,0)+IF(AND('Your debts'!$F$8&lt;&gt;"",'Your debts'!$F$9&lt;&gt;"",'Your debts'!$F$8&lt;'Your debts'!$F$9),R202,0)+IF(AND('Your debts'!$F$10&lt;&gt;"",'Your debts'!$F$9&lt;&gt;"",'Your debts'!$F$10&lt;'Your debts'!$F$9),AB202,0)+IF(AND('Your debts'!$F$11&lt;&gt;"",'Your debts'!$F$9&lt;&gt;"",'Your debts'!$F$11&lt;'Your debts'!$F$9),AG202,0)+IF(AND('Your debts'!$F$12&lt;&gt;"",'Your debts'!$F$9&lt;&gt;"",'Your debts'!$F$12&lt;'Your debts'!$F$9),AL202,0)+IF(AND('Your debts'!$F$13&lt;&gt;"",'Your debts'!$F$9&lt;&gt;"",'Your debts'!$F$13&lt;'Your debts'!$F$9),AQ202,0)+IF(AND('Your debts'!$F$14&lt;&gt;"",'Your debts'!$F$9&lt;&gt;"",'Your debts'!$F$14&lt;'Your debts'!$F$9),AV202,0)+IF(AND('Your debts'!$F$15&lt;&gt;"",'Your debts'!$F$9&lt;&gt;"",'Your debts'!$F$15&lt;'Your debts'!$F$9),BA202,0)))))</f>
        <v/>
      </c>
      <c r="Y202" s="33">
        <f>W202-X202</f>
        <v/>
      </c>
      <c r="Z202" s="33">
        <f>IF(AD201&lt;=0,0,ROUND(AD201*(1+'Your debts'!$D$10/1200),2))</f>
        <v/>
      </c>
      <c r="AA202" s="33">
        <f>IF(Z202&lt;=0,0,MIN('Your debts'!$E$10,Z202))</f>
        <v/>
      </c>
      <c r="AB202" s="33">
        <f>Z202-AA202</f>
        <v/>
      </c>
      <c r="AC202" s="33">
        <f>IF('Your debts'!$F$10="",0,MIN(AB202,MAX(0,MAX(0,'Your debts'!$C$19-(G202+L202+Q202+V202+AA202+AF202+AK202+AP202+AU202+AZ202))-(IF(AND('Your debts'!$F$6&lt;&gt;"",'Your debts'!$F$10&lt;&gt;"",'Your debts'!$F$6&lt;'Your debts'!$F$10),H202,0)+IF(AND('Your debts'!$F$7&lt;&gt;"",'Your debts'!$F$10&lt;&gt;"",'Your debts'!$F$7&lt;'Your debts'!$F$10),M202,0)+IF(AND('Your debts'!$F$8&lt;&gt;"",'Your debts'!$F$10&lt;&gt;"",'Your debts'!$F$8&lt;'Your debts'!$F$10),R202,0)+IF(AND('Your debts'!$F$9&lt;&gt;"",'Your debts'!$F$10&lt;&gt;"",'Your debts'!$F$9&lt;'Your debts'!$F$10),W202,0)+IF(AND('Your debts'!$F$11&lt;&gt;"",'Your debts'!$F$10&lt;&gt;"",'Your debts'!$F$11&lt;'Your debts'!$F$10),AG202,0)+IF(AND('Your debts'!$F$12&lt;&gt;"",'Your debts'!$F$10&lt;&gt;"",'Your debts'!$F$12&lt;'Your debts'!$F$10),AL202,0)+IF(AND('Your debts'!$F$13&lt;&gt;"",'Your debts'!$F$10&lt;&gt;"",'Your debts'!$F$13&lt;'Your debts'!$F$10),AQ202,0)+IF(AND('Your debts'!$F$14&lt;&gt;"",'Your debts'!$F$10&lt;&gt;"",'Your debts'!$F$14&lt;'Your debts'!$F$10),AV202,0)+IF(AND('Your debts'!$F$15&lt;&gt;"",'Your debts'!$F$10&lt;&gt;"",'Your debts'!$F$15&lt;'Your debts'!$F$10),BA202,0)))))</f>
        <v/>
      </c>
      <c r="AD202" s="33">
        <f>AB202-AC202</f>
        <v/>
      </c>
      <c r="AE202" s="33">
        <f>IF(AI201&lt;=0,0,ROUND(AI201*(1+'Your debts'!$D$11/1200),2))</f>
        <v/>
      </c>
      <c r="AF202" s="33">
        <f>IF(AE202&lt;=0,0,MIN('Your debts'!$E$11,AE202))</f>
        <v/>
      </c>
      <c r="AG202" s="33">
        <f>AE202-AF202</f>
        <v/>
      </c>
      <c r="AH202" s="33">
        <f>IF('Your debts'!$F$11="",0,MIN(AG202,MAX(0,MAX(0,'Your debts'!$C$19-(G202+L202+Q202+V202+AA202+AF202+AK202+AP202+AU202+AZ202))-(IF(AND('Your debts'!$F$6&lt;&gt;"",'Your debts'!$F$11&lt;&gt;"",'Your debts'!$F$6&lt;'Your debts'!$F$11),H202,0)+IF(AND('Your debts'!$F$7&lt;&gt;"",'Your debts'!$F$11&lt;&gt;"",'Your debts'!$F$7&lt;'Your debts'!$F$11),M202,0)+IF(AND('Your debts'!$F$8&lt;&gt;"",'Your debts'!$F$11&lt;&gt;"",'Your debts'!$F$8&lt;'Your debts'!$F$11),R202,0)+IF(AND('Your debts'!$F$9&lt;&gt;"",'Your debts'!$F$11&lt;&gt;"",'Your debts'!$F$9&lt;'Your debts'!$F$11),W202,0)+IF(AND('Your debts'!$F$10&lt;&gt;"",'Your debts'!$F$11&lt;&gt;"",'Your debts'!$F$10&lt;'Your debts'!$F$11),AB202,0)+IF(AND('Your debts'!$F$12&lt;&gt;"",'Your debts'!$F$11&lt;&gt;"",'Your debts'!$F$12&lt;'Your debts'!$F$11),AL202,0)+IF(AND('Your debts'!$F$13&lt;&gt;"",'Your debts'!$F$11&lt;&gt;"",'Your debts'!$F$13&lt;'Your debts'!$F$11),AQ202,0)+IF(AND('Your debts'!$F$14&lt;&gt;"",'Your debts'!$F$11&lt;&gt;"",'Your debts'!$F$14&lt;'Your debts'!$F$11),AV202,0)+IF(AND('Your debts'!$F$15&lt;&gt;"",'Your debts'!$F$11&lt;&gt;"",'Your debts'!$F$15&lt;'Your debts'!$F$11),BA202,0)))))</f>
        <v/>
      </c>
      <c r="AI202" s="33">
        <f>AG202-AH202</f>
        <v/>
      </c>
      <c r="AJ202" s="33">
        <f>IF(AN201&lt;=0,0,ROUND(AN201*(1+'Your debts'!$D$12/1200),2))</f>
        <v/>
      </c>
      <c r="AK202" s="33">
        <f>IF(AJ202&lt;=0,0,MIN('Your debts'!$E$12,AJ202))</f>
        <v/>
      </c>
      <c r="AL202" s="33">
        <f>AJ202-AK202</f>
        <v/>
      </c>
      <c r="AM202" s="33">
        <f>IF('Your debts'!$F$12="",0,MIN(AL202,MAX(0,MAX(0,'Your debts'!$C$19-(G202+L202+Q202+V202+AA202+AF202+AK202+AP202+AU202+AZ202))-(IF(AND('Your debts'!$F$6&lt;&gt;"",'Your debts'!$F$12&lt;&gt;"",'Your debts'!$F$6&lt;'Your debts'!$F$12),H202,0)+IF(AND('Your debts'!$F$7&lt;&gt;"",'Your debts'!$F$12&lt;&gt;"",'Your debts'!$F$7&lt;'Your debts'!$F$12),M202,0)+IF(AND('Your debts'!$F$8&lt;&gt;"",'Your debts'!$F$12&lt;&gt;"",'Your debts'!$F$8&lt;'Your debts'!$F$12),R202,0)+IF(AND('Your debts'!$F$9&lt;&gt;"",'Your debts'!$F$12&lt;&gt;"",'Your debts'!$F$9&lt;'Your debts'!$F$12),W202,0)+IF(AND('Your debts'!$F$10&lt;&gt;"",'Your debts'!$F$12&lt;&gt;"",'Your debts'!$F$10&lt;'Your debts'!$F$12),AB202,0)+IF(AND('Your debts'!$F$11&lt;&gt;"",'Your debts'!$F$12&lt;&gt;"",'Your debts'!$F$11&lt;'Your debts'!$F$12),AG202,0)+IF(AND('Your debts'!$F$13&lt;&gt;"",'Your debts'!$F$12&lt;&gt;"",'Your debts'!$F$13&lt;'Your debts'!$F$12),AQ202,0)+IF(AND('Your debts'!$F$14&lt;&gt;"",'Your debts'!$F$12&lt;&gt;"",'Your debts'!$F$14&lt;'Your debts'!$F$12),AV202,0)+IF(AND('Your debts'!$F$15&lt;&gt;"",'Your debts'!$F$12&lt;&gt;"",'Your debts'!$F$15&lt;'Your debts'!$F$12),BA202,0)))))</f>
        <v/>
      </c>
      <c r="AN202" s="33">
        <f>AL202-AM202</f>
        <v/>
      </c>
      <c r="AO202" s="33">
        <f>IF(AS201&lt;=0,0,ROUND(AS201*(1+'Your debts'!$D$13/1200),2))</f>
        <v/>
      </c>
      <c r="AP202" s="33">
        <f>IF(AO202&lt;=0,0,MIN('Your debts'!$E$13,AO202))</f>
        <v/>
      </c>
      <c r="AQ202" s="33">
        <f>AO202-AP202</f>
        <v/>
      </c>
      <c r="AR202" s="33">
        <f>IF('Your debts'!$F$13="",0,MIN(AQ202,MAX(0,MAX(0,'Your debts'!$C$19-(G202+L202+Q202+V202+AA202+AF202+AK202+AP202+AU202+AZ202))-(IF(AND('Your debts'!$F$6&lt;&gt;"",'Your debts'!$F$13&lt;&gt;"",'Your debts'!$F$6&lt;'Your debts'!$F$13),H202,0)+IF(AND('Your debts'!$F$7&lt;&gt;"",'Your debts'!$F$13&lt;&gt;"",'Your debts'!$F$7&lt;'Your debts'!$F$13),M202,0)+IF(AND('Your debts'!$F$8&lt;&gt;"",'Your debts'!$F$13&lt;&gt;"",'Your debts'!$F$8&lt;'Your debts'!$F$13),R202,0)+IF(AND('Your debts'!$F$9&lt;&gt;"",'Your debts'!$F$13&lt;&gt;"",'Your debts'!$F$9&lt;'Your debts'!$F$13),W202,0)+IF(AND('Your debts'!$F$10&lt;&gt;"",'Your debts'!$F$13&lt;&gt;"",'Your debts'!$F$10&lt;'Your debts'!$F$13),AB202,0)+IF(AND('Your debts'!$F$11&lt;&gt;"",'Your debts'!$F$13&lt;&gt;"",'Your debts'!$F$11&lt;'Your debts'!$F$13),AG202,0)+IF(AND('Your debts'!$F$12&lt;&gt;"",'Your debts'!$F$13&lt;&gt;"",'Your debts'!$F$12&lt;'Your debts'!$F$13),AL202,0)+IF(AND('Your debts'!$F$14&lt;&gt;"",'Your debts'!$F$13&lt;&gt;"",'Your debts'!$F$14&lt;'Your debts'!$F$13),AV202,0)+IF(AND('Your debts'!$F$15&lt;&gt;"",'Your debts'!$F$13&lt;&gt;"",'Your debts'!$F$15&lt;'Your debts'!$F$13),BA202,0)))))</f>
        <v/>
      </c>
      <c r="AS202" s="33">
        <f>AQ202-AR202</f>
        <v/>
      </c>
      <c r="AT202" s="33">
        <f>IF(AX201&lt;=0,0,ROUND(AX201*(1+'Your debts'!$D$14/1200),2))</f>
        <v/>
      </c>
      <c r="AU202" s="33">
        <f>IF(AT202&lt;=0,0,MIN('Your debts'!$E$14,AT202))</f>
        <v/>
      </c>
      <c r="AV202" s="33">
        <f>AT202-AU202</f>
        <v/>
      </c>
      <c r="AW202" s="33">
        <f>IF('Your debts'!$F$14="",0,MIN(AV202,MAX(0,MAX(0,'Your debts'!$C$19-(G202+L202+Q202+V202+AA202+AF202+AK202+AP202+AU202+AZ202))-(IF(AND('Your debts'!$F$6&lt;&gt;"",'Your debts'!$F$14&lt;&gt;"",'Your debts'!$F$6&lt;'Your debts'!$F$14),H202,0)+IF(AND('Your debts'!$F$7&lt;&gt;"",'Your debts'!$F$14&lt;&gt;"",'Your debts'!$F$7&lt;'Your debts'!$F$14),M202,0)+IF(AND('Your debts'!$F$8&lt;&gt;"",'Your debts'!$F$14&lt;&gt;"",'Your debts'!$F$8&lt;'Your debts'!$F$14),R202,0)+IF(AND('Your debts'!$F$9&lt;&gt;"",'Your debts'!$F$14&lt;&gt;"",'Your debts'!$F$9&lt;'Your debts'!$F$14),W202,0)+IF(AND('Your debts'!$F$10&lt;&gt;"",'Your debts'!$F$14&lt;&gt;"",'Your debts'!$F$10&lt;'Your debts'!$F$14),AB202,0)+IF(AND('Your debts'!$F$11&lt;&gt;"",'Your debts'!$F$14&lt;&gt;"",'Your debts'!$F$11&lt;'Your debts'!$F$14),AG202,0)+IF(AND('Your debts'!$F$12&lt;&gt;"",'Your debts'!$F$14&lt;&gt;"",'Your debts'!$F$12&lt;'Your debts'!$F$14),AL202,0)+IF(AND('Your debts'!$F$13&lt;&gt;"",'Your debts'!$F$14&lt;&gt;"",'Your debts'!$F$13&lt;'Your debts'!$F$14),AQ202,0)+IF(AND('Your debts'!$F$15&lt;&gt;"",'Your debts'!$F$14&lt;&gt;"",'Your debts'!$F$15&lt;'Your debts'!$F$14),BA202,0)))))</f>
        <v/>
      </c>
      <c r="AX202" s="33">
        <f>AV202-AW202</f>
        <v/>
      </c>
      <c r="AY202" s="33">
        <f>IF(BC201&lt;=0,0,ROUND(BC201*(1+'Your debts'!$D$15/1200),2))</f>
        <v/>
      </c>
      <c r="AZ202" s="33">
        <f>IF(AY202&lt;=0,0,MIN('Your debts'!$E$15,AY202))</f>
        <v/>
      </c>
      <c r="BA202" s="33">
        <f>AY202-AZ202</f>
        <v/>
      </c>
      <c r="BB202" s="33">
        <f>IF('Your debts'!$F$15="",0,MIN(BA202,MAX(0,MAX(0,'Your debts'!$C$19-(G202+L202+Q202+V202+AA202+AF202+AK202+AP202+AU202+AZ202))-(IF(AND('Your debts'!$F$6&lt;&gt;"",'Your debts'!$F$15&lt;&gt;"",'Your debts'!$F$6&lt;'Your debts'!$F$15),H202,0)+IF(AND('Your debts'!$F$7&lt;&gt;"",'Your debts'!$F$15&lt;&gt;"",'Your debts'!$F$7&lt;'Your debts'!$F$15),M202,0)+IF(AND('Your debts'!$F$8&lt;&gt;"",'Your debts'!$F$15&lt;&gt;"",'Your debts'!$F$8&lt;'Your debts'!$F$15),R202,0)+IF(AND('Your debts'!$F$9&lt;&gt;"",'Your debts'!$F$15&lt;&gt;"",'Your debts'!$F$9&lt;'Your debts'!$F$15),W202,0)+IF(AND('Your debts'!$F$10&lt;&gt;"",'Your debts'!$F$15&lt;&gt;"",'Your debts'!$F$10&lt;'Your debts'!$F$15),AB202,0)+IF(AND('Your debts'!$F$11&lt;&gt;"",'Your debts'!$F$15&lt;&gt;"",'Your debts'!$F$11&lt;'Your debts'!$F$15),AG202,0)+IF(AND('Your debts'!$F$12&lt;&gt;"",'Your debts'!$F$15&lt;&gt;"",'Your debts'!$F$12&lt;'Your debts'!$F$15),AL202,0)+IF(AND('Your debts'!$F$13&lt;&gt;"",'Your debts'!$F$15&lt;&gt;"",'Your debts'!$F$13&lt;'Your debts'!$F$15),AQ202,0)+IF(AND('Your debts'!$F$14&lt;&gt;"",'Your debts'!$F$15&lt;&gt;"",'Your debts'!$F$14&lt;'Your debts'!$F$15),AV202,0)))))</f>
        <v/>
      </c>
      <c r="BC202" s="33">
        <f>BA202-BB202</f>
        <v/>
      </c>
    </row>
    <row r="203">
      <c r="A203" s="30" t="n">
        <v>188</v>
      </c>
      <c r="B203" s="31">
        <f>EDATE($B$15,188)</f>
        <v/>
      </c>
      <c r="C203" s="32">
        <f>IF(J202&lt;=0,0,F203-J202)+IF(O202&lt;=0,0,K203-O202)+IF(T202&lt;=0,0,P203-T202)+IF(Y202&lt;=0,0,U203-Y202)+IF(AD202&lt;=0,0,Z203-AD202)+IF(AI202&lt;=0,0,AE203-AI202)+IF(AN202&lt;=0,0,AJ203-AN202)+IF(AS202&lt;=0,0,AO203-AS202)+IF(AX202&lt;=0,0,AT203-AX202)+IF(BC202&lt;=0,0,AY203-BC202)</f>
        <v/>
      </c>
      <c r="D203" s="32">
        <f>G203+I203+L203+N203+Q203+S203+V203+X203+AA203+AC203+AF203+AH203+AK203+AM203+AP203+AR203+AU203+AW203+AZ203+BB203</f>
        <v/>
      </c>
      <c r="E203" s="32">
        <f>J203+O203+T203+Y203+AD203+AI203+AN203+AS203+AX203+BC203</f>
        <v/>
      </c>
      <c r="F203" s="33">
        <f>IF(J202&lt;=0,0,ROUND(J202*(1+'Your debts'!$D$6/1200),2))</f>
        <v/>
      </c>
      <c r="G203" s="33">
        <f>IF(F203&lt;=0,0,MIN('Your debts'!$E$6,F203))</f>
        <v/>
      </c>
      <c r="H203" s="33">
        <f>F203-G203</f>
        <v/>
      </c>
      <c r="I203" s="33">
        <f>IF('Your debts'!$F$6="",0,MIN(H203,MAX(0,MAX(0,'Your debts'!$C$19-(G203+L203+Q203+V203+AA203+AF203+AK203+AP203+AU203+AZ203))-(IF(AND('Your debts'!$F$7&lt;&gt;"",'Your debts'!$F$6&lt;&gt;"",'Your debts'!$F$7&lt;'Your debts'!$F$6),M203,0)+IF(AND('Your debts'!$F$8&lt;&gt;"",'Your debts'!$F$6&lt;&gt;"",'Your debts'!$F$8&lt;'Your debts'!$F$6),R203,0)+IF(AND('Your debts'!$F$9&lt;&gt;"",'Your debts'!$F$6&lt;&gt;"",'Your debts'!$F$9&lt;'Your debts'!$F$6),W203,0)+IF(AND('Your debts'!$F$10&lt;&gt;"",'Your debts'!$F$6&lt;&gt;"",'Your debts'!$F$10&lt;'Your debts'!$F$6),AB203,0)+IF(AND('Your debts'!$F$11&lt;&gt;"",'Your debts'!$F$6&lt;&gt;"",'Your debts'!$F$11&lt;'Your debts'!$F$6),AG203,0)+IF(AND('Your debts'!$F$12&lt;&gt;"",'Your debts'!$F$6&lt;&gt;"",'Your debts'!$F$12&lt;'Your debts'!$F$6),AL203,0)+IF(AND('Your debts'!$F$13&lt;&gt;"",'Your debts'!$F$6&lt;&gt;"",'Your debts'!$F$13&lt;'Your debts'!$F$6),AQ203,0)+IF(AND('Your debts'!$F$14&lt;&gt;"",'Your debts'!$F$6&lt;&gt;"",'Your debts'!$F$14&lt;'Your debts'!$F$6),AV203,0)+IF(AND('Your debts'!$F$15&lt;&gt;"",'Your debts'!$F$6&lt;&gt;"",'Your debts'!$F$15&lt;'Your debts'!$F$6),BA203,0)))))</f>
        <v/>
      </c>
      <c r="J203" s="33">
        <f>H203-I203</f>
        <v/>
      </c>
      <c r="K203" s="33">
        <f>IF(O202&lt;=0,0,ROUND(O202*(1+'Your debts'!$D$7/1200),2))</f>
        <v/>
      </c>
      <c r="L203" s="33">
        <f>IF(K203&lt;=0,0,MIN('Your debts'!$E$7,K203))</f>
        <v/>
      </c>
      <c r="M203" s="33">
        <f>K203-L203</f>
        <v/>
      </c>
      <c r="N203" s="33">
        <f>IF('Your debts'!$F$7="",0,MIN(M203,MAX(0,MAX(0,'Your debts'!$C$19-(G203+L203+Q203+V203+AA203+AF203+AK203+AP203+AU203+AZ203))-(IF(AND('Your debts'!$F$6&lt;&gt;"",'Your debts'!$F$7&lt;&gt;"",'Your debts'!$F$6&lt;'Your debts'!$F$7),H203,0)+IF(AND('Your debts'!$F$8&lt;&gt;"",'Your debts'!$F$7&lt;&gt;"",'Your debts'!$F$8&lt;'Your debts'!$F$7),R203,0)+IF(AND('Your debts'!$F$9&lt;&gt;"",'Your debts'!$F$7&lt;&gt;"",'Your debts'!$F$9&lt;'Your debts'!$F$7),W203,0)+IF(AND('Your debts'!$F$10&lt;&gt;"",'Your debts'!$F$7&lt;&gt;"",'Your debts'!$F$10&lt;'Your debts'!$F$7),AB203,0)+IF(AND('Your debts'!$F$11&lt;&gt;"",'Your debts'!$F$7&lt;&gt;"",'Your debts'!$F$11&lt;'Your debts'!$F$7),AG203,0)+IF(AND('Your debts'!$F$12&lt;&gt;"",'Your debts'!$F$7&lt;&gt;"",'Your debts'!$F$12&lt;'Your debts'!$F$7),AL203,0)+IF(AND('Your debts'!$F$13&lt;&gt;"",'Your debts'!$F$7&lt;&gt;"",'Your debts'!$F$13&lt;'Your debts'!$F$7),AQ203,0)+IF(AND('Your debts'!$F$14&lt;&gt;"",'Your debts'!$F$7&lt;&gt;"",'Your debts'!$F$14&lt;'Your debts'!$F$7),AV203,0)+IF(AND('Your debts'!$F$15&lt;&gt;"",'Your debts'!$F$7&lt;&gt;"",'Your debts'!$F$15&lt;'Your debts'!$F$7),BA203,0)))))</f>
        <v/>
      </c>
      <c r="O203" s="33">
        <f>M203-N203</f>
        <v/>
      </c>
      <c r="P203" s="33">
        <f>IF(T202&lt;=0,0,ROUND(T202*(1+'Your debts'!$D$8/1200),2))</f>
        <v/>
      </c>
      <c r="Q203" s="33">
        <f>IF(P203&lt;=0,0,MIN('Your debts'!$E$8,P203))</f>
        <v/>
      </c>
      <c r="R203" s="33">
        <f>P203-Q203</f>
        <v/>
      </c>
      <c r="S203" s="33">
        <f>IF('Your debts'!$F$8="",0,MIN(R203,MAX(0,MAX(0,'Your debts'!$C$19-(G203+L203+Q203+V203+AA203+AF203+AK203+AP203+AU203+AZ203))-(IF(AND('Your debts'!$F$6&lt;&gt;"",'Your debts'!$F$8&lt;&gt;"",'Your debts'!$F$6&lt;'Your debts'!$F$8),H203,0)+IF(AND('Your debts'!$F$7&lt;&gt;"",'Your debts'!$F$8&lt;&gt;"",'Your debts'!$F$7&lt;'Your debts'!$F$8),M203,0)+IF(AND('Your debts'!$F$9&lt;&gt;"",'Your debts'!$F$8&lt;&gt;"",'Your debts'!$F$9&lt;'Your debts'!$F$8),W203,0)+IF(AND('Your debts'!$F$10&lt;&gt;"",'Your debts'!$F$8&lt;&gt;"",'Your debts'!$F$10&lt;'Your debts'!$F$8),AB203,0)+IF(AND('Your debts'!$F$11&lt;&gt;"",'Your debts'!$F$8&lt;&gt;"",'Your debts'!$F$11&lt;'Your debts'!$F$8),AG203,0)+IF(AND('Your debts'!$F$12&lt;&gt;"",'Your debts'!$F$8&lt;&gt;"",'Your debts'!$F$12&lt;'Your debts'!$F$8),AL203,0)+IF(AND('Your debts'!$F$13&lt;&gt;"",'Your debts'!$F$8&lt;&gt;"",'Your debts'!$F$13&lt;'Your debts'!$F$8),AQ203,0)+IF(AND('Your debts'!$F$14&lt;&gt;"",'Your debts'!$F$8&lt;&gt;"",'Your debts'!$F$14&lt;'Your debts'!$F$8),AV203,0)+IF(AND('Your debts'!$F$15&lt;&gt;"",'Your debts'!$F$8&lt;&gt;"",'Your debts'!$F$15&lt;'Your debts'!$F$8),BA203,0)))))</f>
        <v/>
      </c>
      <c r="T203" s="33">
        <f>R203-S203</f>
        <v/>
      </c>
      <c r="U203" s="33">
        <f>IF(Y202&lt;=0,0,ROUND(Y202*(1+'Your debts'!$D$9/1200),2))</f>
        <v/>
      </c>
      <c r="V203" s="33">
        <f>IF(U203&lt;=0,0,MIN('Your debts'!$E$9,U203))</f>
        <v/>
      </c>
      <c r="W203" s="33">
        <f>U203-V203</f>
        <v/>
      </c>
      <c r="X203" s="33">
        <f>IF('Your debts'!$F$9="",0,MIN(W203,MAX(0,MAX(0,'Your debts'!$C$19-(G203+L203+Q203+V203+AA203+AF203+AK203+AP203+AU203+AZ203))-(IF(AND('Your debts'!$F$6&lt;&gt;"",'Your debts'!$F$9&lt;&gt;"",'Your debts'!$F$6&lt;'Your debts'!$F$9),H203,0)+IF(AND('Your debts'!$F$7&lt;&gt;"",'Your debts'!$F$9&lt;&gt;"",'Your debts'!$F$7&lt;'Your debts'!$F$9),M203,0)+IF(AND('Your debts'!$F$8&lt;&gt;"",'Your debts'!$F$9&lt;&gt;"",'Your debts'!$F$8&lt;'Your debts'!$F$9),R203,0)+IF(AND('Your debts'!$F$10&lt;&gt;"",'Your debts'!$F$9&lt;&gt;"",'Your debts'!$F$10&lt;'Your debts'!$F$9),AB203,0)+IF(AND('Your debts'!$F$11&lt;&gt;"",'Your debts'!$F$9&lt;&gt;"",'Your debts'!$F$11&lt;'Your debts'!$F$9),AG203,0)+IF(AND('Your debts'!$F$12&lt;&gt;"",'Your debts'!$F$9&lt;&gt;"",'Your debts'!$F$12&lt;'Your debts'!$F$9),AL203,0)+IF(AND('Your debts'!$F$13&lt;&gt;"",'Your debts'!$F$9&lt;&gt;"",'Your debts'!$F$13&lt;'Your debts'!$F$9),AQ203,0)+IF(AND('Your debts'!$F$14&lt;&gt;"",'Your debts'!$F$9&lt;&gt;"",'Your debts'!$F$14&lt;'Your debts'!$F$9),AV203,0)+IF(AND('Your debts'!$F$15&lt;&gt;"",'Your debts'!$F$9&lt;&gt;"",'Your debts'!$F$15&lt;'Your debts'!$F$9),BA203,0)))))</f>
        <v/>
      </c>
      <c r="Y203" s="33">
        <f>W203-X203</f>
        <v/>
      </c>
      <c r="Z203" s="33">
        <f>IF(AD202&lt;=0,0,ROUND(AD202*(1+'Your debts'!$D$10/1200),2))</f>
        <v/>
      </c>
      <c r="AA203" s="33">
        <f>IF(Z203&lt;=0,0,MIN('Your debts'!$E$10,Z203))</f>
        <v/>
      </c>
      <c r="AB203" s="33">
        <f>Z203-AA203</f>
        <v/>
      </c>
      <c r="AC203" s="33">
        <f>IF('Your debts'!$F$10="",0,MIN(AB203,MAX(0,MAX(0,'Your debts'!$C$19-(G203+L203+Q203+V203+AA203+AF203+AK203+AP203+AU203+AZ203))-(IF(AND('Your debts'!$F$6&lt;&gt;"",'Your debts'!$F$10&lt;&gt;"",'Your debts'!$F$6&lt;'Your debts'!$F$10),H203,0)+IF(AND('Your debts'!$F$7&lt;&gt;"",'Your debts'!$F$10&lt;&gt;"",'Your debts'!$F$7&lt;'Your debts'!$F$10),M203,0)+IF(AND('Your debts'!$F$8&lt;&gt;"",'Your debts'!$F$10&lt;&gt;"",'Your debts'!$F$8&lt;'Your debts'!$F$10),R203,0)+IF(AND('Your debts'!$F$9&lt;&gt;"",'Your debts'!$F$10&lt;&gt;"",'Your debts'!$F$9&lt;'Your debts'!$F$10),W203,0)+IF(AND('Your debts'!$F$11&lt;&gt;"",'Your debts'!$F$10&lt;&gt;"",'Your debts'!$F$11&lt;'Your debts'!$F$10),AG203,0)+IF(AND('Your debts'!$F$12&lt;&gt;"",'Your debts'!$F$10&lt;&gt;"",'Your debts'!$F$12&lt;'Your debts'!$F$10),AL203,0)+IF(AND('Your debts'!$F$13&lt;&gt;"",'Your debts'!$F$10&lt;&gt;"",'Your debts'!$F$13&lt;'Your debts'!$F$10),AQ203,0)+IF(AND('Your debts'!$F$14&lt;&gt;"",'Your debts'!$F$10&lt;&gt;"",'Your debts'!$F$14&lt;'Your debts'!$F$10),AV203,0)+IF(AND('Your debts'!$F$15&lt;&gt;"",'Your debts'!$F$10&lt;&gt;"",'Your debts'!$F$15&lt;'Your debts'!$F$10),BA203,0)))))</f>
        <v/>
      </c>
      <c r="AD203" s="33">
        <f>AB203-AC203</f>
        <v/>
      </c>
      <c r="AE203" s="33">
        <f>IF(AI202&lt;=0,0,ROUND(AI202*(1+'Your debts'!$D$11/1200),2))</f>
        <v/>
      </c>
      <c r="AF203" s="33">
        <f>IF(AE203&lt;=0,0,MIN('Your debts'!$E$11,AE203))</f>
        <v/>
      </c>
      <c r="AG203" s="33">
        <f>AE203-AF203</f>
        <v/>
      </c>
      <c r="AH203" s="33">
        <f>IF('Your debts'!$F$11="",0,MIN(AG203,MAX(0,MAX(0,'Your debts'!$C$19-(G203+L203+Q203+V203+AA203+AF203+AK203+AP203+AU203+AZ203))-(IF(AND('Your debts'!$F$6&lt;&gt;"",'Your debts'!$F$11&lt;&gt;"",'Your debts'!$F$6&lt;'Your debts'!$F$11),H203,0)+IF(AND('Your debts'!$F$7&lt;&gt;"",'Your debts'!$F$11&lt;&gt;"",'Your debts'!$F$7&lt;'Your debts'!$F$11),M203,0)+IF(AND('Your debts'!$F$8&lt;&gt;"",'Your debts'!$F$11&lt;&gt;"",'Your debts'!$F$8&lt;'Your debts'!$F$11),R203,0)+IF(AND('Your debts'!$F$9&lt;&gt;"",'Your debts'!$F$11&lt;&gt;"",'Your debts'!$F$9&lt;'Your debts'!$F$11),W203,0)+IF(AND('Your debts'!$F$10&lt;&gt;"",'Your debts'!$F$11&lt;&gt;"",'Your debts'!$F$10&lt;'Your debts'!$F$11),AB203,0)+IF(AND('Your debts'!$F$12&lt;&gt;"",'Your debts'!$F$11&lt;&gt;"",'Your debts'!$F$12&lt;'Your debts'!$F$11),AL203,0)+IF(AND('Your debts'!$F$13&lt;&gt;"",'Your debts'!$F$11&lt;&gt;"",'Your debts'!$F$13&lt;'Your debts'!$F$11),AQ203,0)+IF(AND('Your debts'!$F$14&lt;&gt;"",'Your debts'!$F$11&lt;&gt;"",'Your debts'!$F$14&lt;'Your debts'!$F$11),AV203,0)+IF(AND('Your debts'!$F$15&lt;&gt;"",'Your debts'!$F$11&lt;&gt;"",'Your debts'!$F$15&lt;'Your debts'!$F$11),BA203,0)))))</f>
        <v/>
      </c>
      <c r="AI203" s="33">
        <f>AG203-AH203</f>
        <v/>
      </c>
      <c r="AJ203" s="33">
        <f>IF(AN202&lt;=0,0,ROUND(AN202*(1+'Your debts'!$D$12/1200),2))</f>
        <v/>
      </c>
      <c r="AK203" s="33">
        <f>IF(AJ203&lt;=0,0,MIN('Your debts'!$E$12,AJ203))</f>
        <v/>
      </c>
      <c r="AL203" s="33">
        <f>AJ203-AK203</f>
        <v/>
      </c>
      <c r="AM203" s="33">
        <f>IF('Your debts'!$F$12="",0,MIN(AL203,MAX(0,MAX(0,'Your debts'!$C$19-(G203+L203+Q203+V203+AA203+AF203+AK203+AP203+AU203+AZ203))-(IF(AND('Your debts'!$F$6&lt;&gt;"",'Your debts'!$F$12&lt;&gt;"",'Your debts'!$F$6&lt;'Your debts'!$F$12),H203,0)+IF(AND('Your debts'!$F$7&lt;&gt;"",'Your debts'!$F$12&lt;&gt;"",'Your debts'!$F$7&lt;'Your debts'!$F$12),M203,0)+IF(AND('Your debts'!$F$8&lt;&gt;"",'Your debts'!$F$12&lt;&gt;"",'Your debts'!$F$8&lt;'Your debts'!$F$12),R203,0)+IF(AND('Your debts'!$F$9&lt;&gt;"",'Your debts'!$F$12&lt;&gt;"",'Your debts'!$F$9&lt;'Your debts'!$F$12),W203,0)+IF(AND('Your debts'!$F$10&lt;&gt;"",'Your debts'!$F$12&lt;&gt;"",'Your debts'!$F$10&lt;'Your debts'!$F$12),AB203,0)+IF(AND('Your debts'!$F$11&lt;&gt;"",'Your debts'!$F$12&lt;&gt;"",'Your debts'!$F$11&lt;'Your debts'!$F$12),AG203,0)+IF(AND('Your debts'!$F$13&lt;&gt;"",'Your debts'!$F$12&lt;&gt;"",'Your debts'!$F$13&lt;'Your debts'!$F$12),AQ203,0)+IF(AND('Your debts'!$F$14&lt;&gt;"",'Your debts'!$F$12&lt;&gt;"",'Your debts'!$F$14&lt;'Your debts'!$F$12),AV203,0)+IF(AND('Your debts'!$F$15&lt;&gt;"",'Your debts'!$F$12&lt;&gt;"",'Your debts'!$F$15&lt;'Your debts'!$F$12),BA203,0)))))</f>
        <v/>
      </c>
      <c r="AN203" s="33">
        <f>AL203-AM203</f>
        <v/>
      </c>
      <c r="AO203" s="33">
        <f>IF(AS202&lt;=0,0,ROUND(AS202*(1+'Your debts'!$D$13/1200),2))</f>
        <v/>
      </c>
      <c r="AP203" s="33">
        <f>IF(AO203&lt;=0,0,MIN('Your debts'!$E$13,AO203))</f>
        <v/>
      </c>
      <c r="AQ203" s="33">
        <f>AO203-AP203</f>
        <v/>
      </c>
      <c r="AR203" s="33">
        <f>IF('Your debts'!$F$13="",0,MIN(AQ203,MAX(0,MAX(0,'Your debts'!$C$19-(G203+L203+Q203+V203+AA203+AF203+AK203+AP203+AU203+AZ203))-(IF(AND('Your debts'!$F$6&lt;&gt;"",'Your debts'!$F$13&lt;&gt;"",'Your debts'!$F$6&lt;'Your debts'!$F$13),H203,0)+IF(AND('Your debts'!$F$7&lt;&gt;"",'Your debts'!$F$13&lt;&gt;"",'Your debts'!$F$7&lt;'Your debts'!$F$13),M203,0)+IF(AND('Your debts'!$F$8&lt;&gt;"",'Your debts'!$F$13&lt;&gt;"",'Your debts'!$F$8&lt;'Your debts'!$F$13),R203,0)+IF(AND('Your debts'!$F$9&lt;&gt;"",'Your debts'!$F$13&lt;&gt;"",'Your debts'!$F$9&lt;'Your debts'!$F$13),W203,0)+IF(AND('Your debts'!$F$10&lt;&gt;"",'Your debts'!$F$13&lt;&gt;"",'Your debts'!$F$10&lt;'Your debts'!$F$13),AB203,0)+IF(AND('Your debts'!$F$11&lt;&gt;"",'Your debts'!$F$13&lt;&gt;"",'Your debts'!$F$11&lt;'Your debts'!$F$13),AG203,0)+IF(AND('Your debts'!$F$12&lt;&gt;"",'Your debts'!$F$13&lt;&gt;"",'Your debts'!$F$12&lt;'Your debts'!$F$13),AL203,0)+IF(AND('Your debts'!$F$14&lt;&gt;"",'Your debts'!$F$13&lt;&gt;"",'Your debts'!$F$14&lt;'Your debts'!$F$13),AV203,0)+IF(AND('Your debts'!$F$15&lt;&gt;"",'Your debts'!$F$13&lt;&gt;"",'Your debts'!$F$15&lt;'Your debts'!$F$13),BA203,0)))))</f>
        <v/>
      </c>
      <c r="AS203" s="33">
        <f>AQ203-AR203</f>
        <v/>
      </c>
      <c r="AT203" s="33">
        <f>IF(AX202&lt;=0,0,ROUND(AX202*(1+'Your debts'!$D$14/1200),2))</f>
        <v/>
      </c>
      <c r="AU203" s="33">
        <f>IF(AT203&lt;=0,0,MIN('Your debts'!$E$14,AT203))</f>
        <v/>
      </c>
      <c r="AV203" s="33">
        <f>AT203-AU203</f>
        <v/>
      </c>
      <c r="AW203" s="33">
        <f>IF('Your debts'!$F$14="",0,MIN(AV203,MAX(0,MAX(0,'Your debts'!$C$19-(G203+L203+Q203+V203+AA203+AF203+AK203+AP203+AU203+AZ203))-(IF(AND('Your debts'!$F$6&lt;&gt;"",'Your debts'!$F$14&lt;&gt;"",'Your debts'!$F$6&lt;'Your debts'!$F$14),H203,0)+IF(AND('Your debts'!$F$7&lt;&gt;"",'Your debts'!$F$14&lt;&gt;"",'Your debts'!$F$7&lt;'Your debts'!$F$14),M203,0)+IF(AND('Your debts'!$F$8&lt;&gt;"",'Your debts'!$F$14&lt;&gt;"",'Your debts'!$F$8&lt;'Your debts'!$F$14),R203,0)+IF(AND('Your debts'!$F$9&lt;&gt;"",'Your debts'!$F$14&lt;&gt;"",'Your debts'!$F$9&lt;'Your debts'!$F$14),W203,0)+IF(AND('Your debts'!$F$10&lt;&gt;"",'Your debts'!$F$14&lt;&gt;"",'Your debts'!$F$10&lt;'Your debts'!$F$14),AB203,0)+IF(AND('Your debts'!$F$11&lt;&gt;"",'Your debts'!$F$14&lt;&gt;"",'Your debts'!$F$11&lt;'Your debts'!$F$14),AG203,0)+IF(AND('Your debts'!$F$12&lt;&gt;"",'Your debts'!$F$14&lt;&gt;"",'Your debts'!$F$12&lt;'Your debts'!$F$14),AL203,0)+IF(AND('Your debts'!$F$13&lt;&gt;"",'Your debts'!$F$14&lt;&gt;"",'Your debts'!$F$13&lt;'Your debts'!$F$14),AQ203,0)+IF(AND('Your debts'!$F$15&lt;&gt;"",'Your debts'!$F$14&lt;&gt;"",'Your debts'!$F$15&lt;'Your debts'!$F$14),BA203,0)))))</f>
        <v/>
      </c>
      <c r="AX203" s="33">
        <f>AV203-AW203</f>
        <v/>
      </c>
      <c r="AY203" s="33">
        <f>IF(BC202&lt;=0,0,ROUND(BC202*(1+'Your debts'!$D$15/1200),2))</f>
        <v/>
      </c>
      <c r="AZ203" s="33">
        <f>IF(AY203&lt;=0,0,MIN('Your debts'!$E$15,AY203))</f>
        <v/>
      </c>
      <c r="BA203" s="33">
        <f>AY203-AZ203</f>
        <v/>
      </c>
      <c r="BB203" s="33">
        <f>IF('Your debts'!$F$15="",0,MIN(BA203,MAX(0,MAX(0,'Your debts'!$C$19-(G203+L203+Q203+V203+AA203+AF203+AK203+AP203+AU203+AZ203))-(IF(AND('Your debts'!$F$6&lt;&gt;"",'Your debts'!$F$15&lt;&gt;"",'Your debts'!$F$6&lt;'Your debts'!$F$15),H203,0)+IF(AND('Your debts'!$F$7&lt;&gt;"",'Your debts'!$F$15&lt;&gt;"",'Your debts'!$F$7&lt;'Your debts'!$F$15),M203,0)+IF(AND('Your debts'!$F$8&lt;&gt;"",'Your debts'!$F$15&lt;&gt;"",'Your debts'!$F$8&lt;'Your debts'!$F$15),R203,0)+IF(AND('Your debts'!$F$9&lt;&gt;"",'Your debts'!$F$15&lt;&gt;"",'Your debts'!$F$9&lt;'Your debts'!$F$15),W203,0)+IF(AND('Your debts'!$F$10&lt;&gt;"",'Your debts'!$F$15&lt;&gt;"",'Your debts'!$F$10&lt;'Your debts'!$F$15),AB203,0)+IF(AND('Your debts'!$F$11&lt;&gt;"",'Your debts'!$F$15&lt;&gt;"",'Your debts'!$F$11&lt;'Your debts'!$F$15),AG203,0)+IF(AND('Your debts'!$F$12&lt;&gt;"",'Your debts'!$F$15&lt;&gt;"",'Your debts'!$F$12&lt;'Your debts'!$F$15),AL203,0)+IF(AND('Your debts'!$F$13&lt;&gt;"",'Your debts'!$F$15&lt;&gt;"",'Your debts'!$F$13&lt;'Your debts'!$F$15),AQ203,0)+IF(AND('Your debts'!$F$14&lt;&gt;"",'Your debts'!$F$15&lt;&gt;"",'Your debts'!$F$14&lt;'Your debts'!$F$15),AV203,0)))))</f>
        <v/>
      </c>
      <c r="BC203" s="33">
        <f>BA203-BB203</f>
        <v/>
      </c>
    </row>
    <row r="204">
      <c r="A204" s="30" t="n">
        <v>189</v>
      </c>
      <c r="B204" s="31">
        <f>EDATE($B$15,189)</f>
        <v/>
      </c>
      <c r="C204" s="32">
        <f>IF(J203&lt;=0,0,F204-J203)+IF(O203&lt;=0,0,K204-O203)+IF(T203&lt;=0,0,P204-T203)+IF(Y203&lt;=0,0,U204-Y203)+IF(AD203&lt;=0,0,Z204-AD203)+IF(AI203&lt;=0,0,AE204-AI203)+IF(AN203&lt;=0,0,AJ204-AN203)+IF(AS203&lt;=0,0,AO204-AS203)+IF(AX203&lt;=0,0,AT204-AX203)+IF(BC203&lt;=0,0,AY204-BC203)</f>
        <v/>
      </c>
      <c r="D204" s="32">
        <f>G204+I204+L204+N204+Q204+S204+V204+X204+AA204+AC204+AF204+AH204+AK204+AM204+AP204+AR204+AU204+AW204+AZ204+BB204</f>
        <v/>
      </c>
      <c r="E204" s="32">
        <f>J204+O204+T204+Y204+AD204+AI204+AN204+AS204+AX204+BC204</f>
        <v/>
      </c>
      <c r="F204" s="33">
        <f>IF(J203&lt;=0,0,ROUND(J203*(1+'Your debts'!$D$6/1200),2))</f>
        <v/>
      </c>
      <c r="G204" s="33">
        <f>IF(F204&lt;=0,0,MIN('Your debts'!$E$6,F204))</f>
        <v/>
      </c>
      <c r="H204" s="33">
        <f>F204-G204</f>
        <v/>
      </c>
      <c r="I204" s="33">
        <f>IF('Your debts'!$F$6="",0,MIN(H204,MAX(0,MAX(0,'Your debts'!$C$19-(G204+L204+Q204+V204+AA204+AF204+AK204+AP204+AU204+AZ204))-(IF(AND('Your debts'!$F$7&lt;&gt;"",'Your debts'!$F$6&lt;&gt;"",'Your debts'!$F$7&lt;'Your debts'!$F$6),M204,0)+IF(AND('Your debts'!$F$8&lt;&gt;"",'Your debts'!$F$6&lt;&gt;"",'Your debts'!$F$8&lt;'Your debts'!$F$6),R204,0)+IF(AND('Your debts'!$F$9&lt;&gt;"",'Your debts'!$F$6&lt;&gt;"",'Your debts'!$F$9&lt;'Your debts'!$F$6),W204,0)+IF(AND('Your debts'!$F$10&lt;&gt;"",'Your debts'!$F$6&lt;&gt;"",'Your debts'!$F$10&lt;'Your debts'!$F$6),AB204,0)+IF(AND('Your debts'!$F$11&lt;&gt;"",'Your debts'!$F$6&lt;&gt;"",'Your debts'!$F$11&lt;'Your debts'!$F$6),AG204,0)+IF(AND('Your debts'!$F$12&lt;&gt;"",'Your debts'!$F$6&lt;&gt;"",'Your debts'!$F$12&lt;'Your debts'!$F$6),AL204,0)+IF(AND('Your debts'!$F$13&lt;&gt;"",'Your debts'!$F$6&lt;&gt;"",'Your debts'!$F$13&lt;'Your debts'!$F$6),AQ204,0)+IF(AND('Your debts'!$F$14&lt;&gt;"",'Your debts'!$F$6&lt;&gt;"",'Your debts'!$F$14&lt;'Your debts'!$F$6),AV204,0)+IF(AND('Your debts'!$F$15&lt;&gt;"",'Your debts'!$F$6&lt;&gt;"",'Your debts'!$F$15&lt;'Your debts'!$F$6),BA204,0)))))</f>
        <v/>
      </c>
      <c r="J204" s="33">
        <f>H204-I204</f>
        <v/>
      </c>
      <c r="K204" s="33">
        <f>IF(O203&lt;=0,0,ROUND(O203*(1+'Your debts'!$D$7/1200),2))</f>
        <v/>
      </c>
      <c r="L204" s="33">
        <f>IF(K204&lt;=0,0,MIN('Your debts'!$E$7,K204))</f>
        <v/>
      </c>
      <c r="M204" s="33">
        <f>K204-L204</f>
        <v/>
      </c>
      <c r="N204" s="33">
        <f>IF('Your debts'!$F$7="",0,MIN(M204,MAX(0,MAX(0,'Your debts'!$C$19-(G204+L204+Q204+V204+AA204+AF204+AK204+AP204+AU204+AZ204))-(IF(AND('Your debts'!$F$6&lt;&gt;"",'Your debts'!$F$7&lt;&gt;"",'Your debts'!$F$6&lt;'Your debts'!$F$7),H204,0)+IF(AND('Your debts'!$F$8&lt;&gt;"",'Your debts'!$F$7&lt;&gt;"",'Your debts'!$F$8&lt;'Your debts'!$F$7),R204,0)+IF(AND('Your debts'!$F$9&lt;&gt;"",'Your debts'!$F$7&lt;&gt;"",'Your debts'!$F$9&lt;'Your debts'!$F$7),W204,0)+IF(AND('Your debts'!$F$10&lt;&gt;"",'Your debts'!$F$7&lt;&gt;"",'Your debts'!$F$10&lt;'Your debts'!$F$7),AB204,0)+IF(AND('Your debts'!$F$11&lt;&gt;"",'Your debts'!$F$7&lt;&gt;"",'Your debts'!$F$11&lt;'Your debts'!$F$7),AG204,0)+IF(AND('Your debts'!$F$12&lt;&gt;"",'Your debts'!$F$7&lt;&gt;"",'Your debts'!$F$12&lt;'Your debts'!$F$7),AL204,0)+IF(AND('Your debts'!$F$13&lt;&gt;"",'Your debts'!$F$7&lt;&gt;"",'Your debts'!$F$13&lt;'Your debts'!$F$7),AQ204,0)+IF(AND('Your debts'!$F$14&lt;&gt;"",'Your debts'!$F$7&lt;&gt;"",'Your debts'!$F$14&lt;'Your debts'!$F$7),AV204,0)+IF(AND('Your debts'!$F$15&lt;&gt;"",'Your debts'!$F$7&lt;&gt;"",'Your debts'!$F$15&lt;'Your debts'!$F$7),BA204,0)))))</f>
        <v/>
      </c>
      <c r="O204" s="33">
        <f>M204-N204</f>
        <v/>
      </c>
      <c r="P204" s="33">
        <f>IF(T203&lt;=0,0,ROUND(T203*(1+'Your debts'!$D$8/1200),2))</f>
        <v/>
      </c>
      <c r="Q204" s="33">
        <f>IF(P204&lt;=0,0,MIN('Your debts'!$E$8,P204))</f>
        <v/>
      </c>
      <c r="R204" s="33">
        <f>P204-Q204</f>
        <v/>
      </c>
      <c r="S204" s="33">
        <f>IF('Your debts'!$F$8="",0,MIN(R204,MAX(0,MAX(0,'Your debts'!$C$19-(G204+L204+Q204+V204+AA204+AF204+AK204+AP204+AU204+AZ204))-(IF(AND('Your debts'!$F$6&lt;&gt;"",'Your debts'!$F$8&lt;&gt;"",'Your debts'!$F$6&lt;'Your debts'!$F$8),H204,0)+IF(AND('Your debts'!$F$7&lt;&gt;"",'Your debts'!$F$8&lt;&gt;"",'Your debts'!$F$7&lt;'Your debts'!$F$8),M204,0)+IF(AND('Your debts'!$F$9&lt;&gt;"",'Your debts'!$F$8&lt;&gt;"",'Your debts'!$F$9&lt;'Your debts'!$F$8),W204,0)+IF(AND('Your debts'!$F$10&lt;&gt;"",'Your debts'!$F$8&lt;&gt;"",'Your debts'!$F$10&lt;'Your debts'!$F$8),AB204,0)+IF(AND('Your debts'!$F$11&lt;&gt;"",'Your debts'!$F$8&lt;&gt;"",'Your debts'!$F$11&lt;'Your debts'!$F$8),AG204,0)+IF(AND('Your debts'!$F$12&lt;&gt;"",'Your debts'!$F$8&lt;&gt;"",'Your debts'!$F$12&lt;'Your debts'!$F$8),AL204,0)+IF(AND('Your debts'!$F$13&lt;&gt;"",'Your debts'!$F$8&lt;&gt;"",'Your debts'!$F$13&lt;'Your debts'!$F$8),AQ204,0)+IF(AND('Your debts'!$F$14&lt;&gt;"",'Your debts'!$F$8&lt;&gt;"",'Your debts'!$F$14&lt;'Your debts'!$F$8),AV204,0)+IF(AND('Your debts'!$F$15&lt;&gt;"",'Your debts'!$F$8&lt;&gt;"",'Your debts'!$F$15&lt;'Your debts'!$F$8),BA204,0)))))</f>
        <v/>
      </c>
      <c r="T204" s="33">
        <f>R204-S204</f>
        <v/>
      </c>
      <c r="U204" s="33">
        <f>IF(Y203&lt;=0,0,ROUND(Y203*(1+'Your debts'!$D$9/1200),2))</f>
        <v/>
      </c>
      <c r="V204" s="33">
        <f>IF(U204&lt;=0,0,MIN('Your debts'!$E$9,U204))</f>
        <v/>
      </c>
      <c r="W204" s="33">
        <f>U204-V204</f>
        <v/>
      </c>
      <c r="X204" s="33">
        <f>IF('Your debts'!$F$9="",0,MIN(W204,MAX(0,MAX(0,'Your debts'!$C$19-(G204+L204+Q204+V204+AA204+AF204+AK204+AP204+AU204+AZ204))-(IF(AND('Your debts'!$F$6&lt;&gt;"",'Your debts'!$F$9&lt;&gt;"",'Your debts'!$F$6&lt;'Your debts'!$F$9),H204,0)+IF(AND('Your debts'!$F$7&lt;&gt;"",'Your debts'!$F$9&lt;&gt;"",'Your debts'!$F$7&lt;'Your debts'!$F$9),M204,0)+IF(AND('Your debts'!$F$8&lt;&gt;"",'Your debts'!$F$9&lt;&gt;"",'Your debts'!$F$8&lt;'Your debts'!$F$9),R204,0)+IF(AND('Your debts'!$F$10&lt;&gt;"",'Your debts'!$F$9&lt;&gt;"",'Your debts'!$F$10&lt;'Your debts'!$F$9),AB204,0)+IF(AND('Your debts'!$F$11&lt;&gt;"",'Your debts'!$F$9&lt;&gt;"",'Your debts'!$F$11&lt;'Your debts'!$F$9),AG204,0)+IF(AND('Your debts'!$F$12&lt;&gt;"",'Your debts'!$F$9&lt;&gt;"",'Your debts'!$F$12&lt;'Your debts'!$F$9),AL204,0)+IF(AND('Your debts'!$F$13&lt;&gt;"",'Your debts'!$F$9&lt;&gt;"",'Your debts'!$F$13&lt;'Your debts'!$F$9),AQ204,0)+IF(AND('Your debts'!$F$14&lt;&gt;"",'Your debts'!$F$9&lt;&gt;"",'Your debts'!$F$14&lt;'Your debts'!$F$9),AV204,0)+IF(AND('Your debts'!$F$15&lt;&gt;"",'Your debts'!$F$9&lt;&gt;"",'Your debts'!$F$15&lt;'Your debts'!$F$9),BA204,0)))))</f>
        <v/>
      </c>
      <c r="Y204" s="33">
        <f>W204-X204</f>
        <v/>
      </c>
      <c r="Z204" s="33">
        <f>IF(AD203&lt;=0,0,ROUND(AD203*(1+'Your debts'!$D$10/1200),2))</f>
        <v/>
      </c>
      <c r="AA204" s="33">
        <f>IF(Z204&lt;=0,0,MIN('Your debts'!$E$10,Z204))</f>
        <v/>
      </c>
      <c r="AB204" s="33">
        <f>Z204-AA204</f>
        <v/>
      </c>
      <c r="AC204" s="33">
        <f>IF('Your debts'!$F$10="",0,MIN(AB204,MAX(0,MAX(0,'Your debts'!$C$19-(G204+L204+Q204+V204+AA204+AF204+AK204+AP204+AU204+AZ204))-(IF(AND('Your debts'!$F$6&lt;&gt;"",'Your debts'!$F$10&lt;&gt;"",'Your debts'!$F$6&lt;'Your debts'!$F$10),H204,0)+IF(AND('Your debts'!$F$7&lt;&gt;"",'Your debts'!$F$10&lt;&gt;"",'Your debts'!$F$7&lt;'Your debts'!$F$10),M204,0)+IF(AND('Your debts'!$F$8&lt;&gt;"",'Your debts'!$F$10&lt;&gt;"",'Your debts'!$F$8&lt;'Your debts'!$F$10),R204,0)+IF(AND('Your debts'!$F$9&lt;&gt;"",'Your debts'!$F$10&lt;&gt;"",'Your debts'!$F$9&lt;'Your debts'!$F$10),W204,0)+IF(AND('Your debts'!$F$11&lt;&gt;"",'Your debts'!$F$10&lt;&gt;"",'Your debts'!$F$11&lt;'Your debts'!$F$10),AG204,0)+IF(AND('Your debts'!$F$12&lt;&gt;"",'Your debts'!$F$10&lt;&gt;"",'Your debts'!$F$12&lt;'Your debts'!$F$10),AL204,0)+IF(AND('Your debts'!$F$13&lt;&gt;"",'Your debts'!$F$10&lt;&gt;"",'Your debts'!$F$13&lt;'Your debts'!$F$10),AQ204,0)+IF(AND('Your debts'!$F$14&lt;&gt;"",'Your debts'!$F$10&lt;&gt;"",'Your debts'!$F$14&lt;'Your debts'!$F$10),AV204,0)+IF(AND('Your debts'!$F$15&lt;&gt;"",'Your debts'!$F$10&lt;&gt;"",'Your debts'!$F$15&lt;'Your debts'!$F$10),BA204,0)))))</f>
        <v/>
      </c>
      <c r="AD204" s="33">
        <f>AB204-AC204</f>
        <v/>
      </c>
      <c r="AE204" s="33">
        <f>IF(AI203&lt;=0,0,ROUND(AI203*(1+'Your debts'!$D$11/1200),2))</f>
        <v/>
      </c>
      <c r="AF204" s="33">
        <f>IF(AE204&lt;=0,0,MIN('Your debts'!$E$11,AE204))</f>
        <v/>
      </c>
      <c r="AG204" s="33">
        <f>AE204-AF204</f>
        <v/>
      </c>
      <c r="AH204" s="33">
        <f>IF('Your debts'!$F$11="",0,MIN(AG204,MAX(0,MAX(0,'Your debts'!$C$19-(G204+L204+Q204+V204+AA204+AF204+AK204+AP204+AU204+AZ204))-(IF(AND('Your debts'!$F$6&lt;&gt;"",'Your debts'!$F$11&lt;&gt;"",'Your debts'!$F$6&lt;'Your debts'!$F$11),H204,0)+IF(AND('Your debts'!$F$7&lt;&gt;"",'Your debts'!$F$11&lt;&gt;"",'Your debts'!$F$7&lt;'Your debts'!$F$11),M204,0)+IF(AND('Your debts'!$F$8&lt;&gt;"",'Your debts'!$F$11&lt;&gt;"",'Your debts'!$F$8&lt;'Your debts'!$F$11),R204,0)+IF(AND('Your debts'!$F$9&lt;&gt;"",'Your debts'!$F$11&lt;&gt;"",'Your debts'!$F$9&lt;'Your debts'!$F$11),W204,0)+IF(AND('Your debts'!$F$10&lt;&gt;"",'Your debts'!$F$11&lt;&gt;"",'Your debts'!$F$10&lt;'Your debts'!$F$11),AB204,0)+IF(AND('Your debts'!$F$12&lt;&gt;"",'Your debts'!$F$11&lt;&gt;"",'Your debts'!$F$12&lt;'Your debts'!$F$11),AL204,0)+IF(AND('Your debts'!$F$13&lt;&gt;"",'Your debts'!$F$11&lt;&gt;"",'Your debts'!$F$13&lt;'Your debts'!$F$11),AQ204,0)+IF(AND('Your debts'!$F$14&lt;&gt;"",'Your debts'!$F$11&lt;&gt;"",'Your debts'!$F$14&lt;'Your debts'!$F$11),AV204,0)+IF(AND('Your debts'!$F$15&lt;&gt;"",'Your debts'!$F$11&lt;&gt;"",'Your debts'!$F$15&lt;'Your debts'!$F$11),BA204,0)))))</f>
        <v/>
      </c>
      <c r="AI204" s="33">
        <f>AG204-AH204</f>
        <v/>
      </c>
      <c r="AJ204" s="33">
        <f>IF(AN203&lt;=0,0,ROUND(AN203*(1+'Your debts'!$D$12/1200),2))</f>
        <v/>
      </c>
      <c r="AK204" s="33">
        <f>IF(AJ204&lt;=0,0,MIN('Your debts'!$E$12,AJ204))</f>
        <v/>
      </c>
      <c r="AL204" s="33">
        <f>AJ204-AK204</f>
        <v/>
      </c>
      <c r="AM204" s="33">
        <f>IF('Your debts'!$F$12="",0,MIN(AL204,MAX(0,MAX(0,'Your debts'!$C$19-(G204+L204+Q204+V204+AA204+AF204+AK204+AP204+AU204+AZ204))-(IF(AND('Your debts'!$F$6&lt;&gt;"",'Your debts'!$F$12&lt;&gt;"",'Your debts'!$F$6&lt;'Your debts'!$F$12),H204,0)+IF(AND('Your debts'!$F$7&lt;&gt;"",'Your debts'!$F$12&lt;&gt;"",'Your debts'!$F$7&lt;'Your debts'!$F$12),M204,0)+IF(AND('Your debts'!$F$8&lt;&gt;"",'Your debts'!$F$12&lt;&gt;"",'Your debts'!$F$8&lt;'Your debts'!$F$12),R204,0)+IF(AND('Your debts'!$F$9&lt;&gt;"",'Your debts'!$F$12&lt;&gt;"",'Your debts'!$F$9&lt;'Your debts'!$F$12),W204,0)+IF(AND('Your debts'!$F$10&lt;&gt;"",'Your debts'!$F$12&lt;&gt;"",'Your debts'!$F$10&lt;'Your debts'!$F$12),AB204,0)+IF(AND('Your debts'!$F$11&lt;&gt;"",'Your debts'!$F$12&lt;&gt;"",'Your debts'!$F$11&lt;'Your debts'!$F$12),AG204,0)+IF(AND('Your debts'!$F$13&lt;&gt;"",'Your debts'!$F$12&lt;&gt;"",'Your debts'!$F$13&lt;'Your debts'!$F$12),AQ204,0)+IF(AND('Your debts'!$F$14&lt;&gt;"",'Your debts'!$F$12&lt;&gt;"",'Your debts'!$F$14&lt;'Your debts'!$F$12),AV204,0)+IF(AND('Your debts'!$F$15&lt;&gt;"",'Your debts'!$F$12&lt;&gt;"",'Your debts'!$F$15&lt;'Your debts'!$F$12),BA204,0)))))</f>
        <v/>
      </c>
      <c r="AN204" s="33">
        <f>AL204-AM204</f>
        <v/>
      </c>
      <c r="AO204" s="33">
        <f>IF(AS203&lt;=0,0,ROUND(AS203*(1+'Your debts'!$D$13/1200),2))</f>
        <v/>
      </c>
      <c r="AP204" s="33">
        <f>IF(AO204&lt;=0,0,MIN('Your debts'!$E$13,AO204))</f>
        <v/>
      </c>
      <c r="AQ204" s="33">
        <f>AO204-AP204</f>
        <v/>
      </c>
      <c r="AR204" s="33">
        <f>IF('Your debts'!$F$13="",0,MIN(AQ204,MAX(0,MAX(0,'Your debts'!$C$19-(G204+L204+Q204+V204+AA204+AF204+AK204+AP204+AU204+AZ204))-(IF(AND('Your debts'!$F$6&lt;&gt;"",'Your debts'!$F$13&lt;&gt;"",'Your debts'!$F$6&lt;'Your debts'!$F$13),H204,0)+IF(AND('Your debts'!$F$7&lt;&gt;"",'Your debts'!$F$13&lt;&gt;"",'Your debts'!$F$7&lt;'Your debts'!$F$13),M204,0)+IF(AND('Your debts'!$F$8&lt;&gt;"",'Your debts'!$F$13&lt;&gt;"",'Your debts'!$F$8&lt;'Your debts'!$F$13),R204,0)+IF(AND('Your debts'!$F$9&lt;&gt;"",'Your debts'!$F$13&lt;&gt;"",'Your debts'!$F$9&lt;'Your debts'!$F$13),W204,0)+IF(AND('Your debts'!$F$10&lt;&gt;"",'Your debts'!$F$13&lt;&gt;"",'Your debts'!$F$10&lt;'Your debts'!$F$13),AB204,0)+IF(AND('Your debts'!$F$11&lt;&gt;"",'Your debts'!$F$13&lt;&gt;"",'Your debts'!$F$11&lt;'Your debts'!$F$13),AG204,0)+IF(AND('Your debts'!$F$12&lt;&gt;"",'Your debts'!$F$13&lt;&gt;"",'Your debts'!$F$12&lt;'Your debts'!$F$13),AL204,0)+IF(AND('Your debts'!$F$14&lt;&gt;"",'Your debts'!$F$13&lt;&gt;"",'Your debts'!$F$14&lt;'Your debts'!$F$13),AV204,0)+IF(AND('Your debts'!$F$15&lt;&gt;"",'Your debts'!$F$13&lt;&gt;"",'Your debts'!$F$15&lt;'Your debts'!$F$13),BA204,0)))))</f>
        <v/>
      </c>
      <c r="AS204" s="33">
        <f>AQ204-AR204</f>
        <v/>
      </c>
      <c r="AT204" s="33">
        <f>IF(AX203&lt;=0,0,ROUND(AX203*(1+'Your debts'!$D$14/1200),2))</f>
        <v/>
      </c>
      <c r="AU204" s="33">
        <f>IF(AT204&lt;=0,0,MIN('Your debts'!$E$14,AT204))</f>
        <v/>
      </c>
      <c r="AV204" s="33">
        <f>AT204-AU204</f>
        <v/>
      </c>
      <c r="AW204" s="33">
        <f>IF('Your debts'!$F$14="",0,MIN(AV204,MAX(0,MAX(0,'Your debts'!$C$19-(G204+L204+Q204+V204+AA204+AF204+AK204+AP204+AU204+AZ204))-(IF(AND('Your debts'!$F$6&lt;&gt;"",'Your debts'!$F$14&lt;&gt;"",'Your debts'!$F$6&lt;'Your debts'!$F$14),H204,0)+IF(AND('Your debts'!$F$7&lt;&gt;"",'Your debts'!$F$14&lt;&gt;"",'Your debts'!$F$7&lt;'Your debts'!$F$14),M204,0)+IF(AND('Your debts'!$F$8&lt;&gt;"",'Your debts'!$F$14&lt;&gt;"",'Your debts'!$F$8&lt;'Your debts'!$F$14),R204,0)+IF(AND('Your debts'!$F$9&lt;&gt;"",'Your debts'!$F$14&lt;&gt;"",'Your debts'!$F$9&lt;'Your debts'!$F$14),W204,0)+IF(AND('Your debts'!$F$10&lt;&gt;"",'Your debts'!$F$14&lt;&gt;"",'Your debts'!$F$10&lt;'Your debts'!$F$14),AB204,0)+IF(AND('Your debts'!$F$11&lt;&gt;"",'Your debts'!$F$14&lt;&gt;"",'Your debts'!$F$11&lt;'Your debts'!$F$14),AG204,0)+IF(AND('Your debts'!$F$12&lt;&gt;"",'Your debts'!$F$14&lt;&gt;"",'Your debts'!$F$12&lt;'Your debts'!$F$14),AL204,0)+IF(AND('Your debts'!$F$13&lt;&gt;"",'Your debts'!$F$14&lt;&gt;"",'Your debts'!$F$13&lt;'Your debts'!$F$14),AQ204,0)+IF(AND('Your debts'!$F$15&lt;&gt;"",'Your debts'!$F$14&lt;&gt;"",'Your debts'!$F$15&lt;'Your debts'!$F$14),BA204,0)))))</f>
        <v/>
      </c>
      <c r="AX204" s="33">
        <f>AV204-AW204</f>
        <v/>
      </c>
      <c r="AY204" s="33">
        <f>IF(BC203&lt;=0,0,ROUND(BC203*(1+'Your debts'!$D$15/1200),2))</f>
        <v/>
      </c>
      <c r="AZ204" s="33">
        <f>IF(AY204&lt;=0,0,MIN('Your debts'!$E$15,AY204))</f>
        <v/>
      </c>
      <c r="BA204" s="33">
        <f>AY204-AZ204</f>
        <v/>
      </c>
      <c r="BB204" s="33">
        <f>IF('Your debts'!$F$15="",0,MIN(BA204,MAX(0,MAX(0,'Your debts'!$C$19-(G204+L204+Q204+V204+AA204+AF204+AK204+AP204+AU204+AZ204))-(IF(AND('Your debts'!$F$6&lt;&gt;"",'Your debts'!$F$15&lt;&gt;"",'Your debts'!$F$6&lt;'Your debts'!$F$15),H204,0)+IF(AND('Your debts'!$F$7&lt;&gt;"",'Your debts'!$F$15&lt;&gt;"",'Your debts'!$F$7&lt;'Your debts'!$F$15),M204,0)+IF(AND('Your debts'!$F$8&lt;&gt;"",'Your debts'!$F$15&lt;&gt;"",'Your debts'!$F$8&lt;'Your debts'!$F$15),R204,0)+IF(AND('Your debts'!$F$9&lt;&gt;"",'Your debts'!$F$15&lt;&gt;"",'Your debts'!$F$9&lt;'Your debts'!$F$15),W204,0)+IF(AND('Your debts'!$F$10&lt;&gt;"",'Your debts'!$F$15&lt;&gt;"",'Your debts'!$F$10&lt;'Your debts'!$F$15),AB204,0)+IF(AND('Your debts'!$F$11&lt;&gt;"",'Your debts'!$F$15&lt;&gt;"",'Your debts'!$F$11&lt;'Your debts'!$F$15),AG204,0)+IF(AND('Your debts'!$F$12&lt;&gt;"",'Your debts'!$F$15&lt;&gt;"",'Your debts'!$F$12&lt;'Your debts'!$F$15),AL204,0)+IF(AND('Your debts'!$F$13&lt;&gt;"",'Your debts'!$F$15&lt;&gt;"",'Your debts'!$F$13&lt;'Your debts'!$F$15),AQ204,0)+IF(AND('Your debts'!$F$14&lt;&gt;"",'Your debts'!$F$15&lt;&gt;"",'Your debts'!$F$14&lt;'Your debts'!$F$15),AV204,0)))))</f>
        <v/>
      </c>
      <c r="BC204" s="33">
        <f>BA204-BB204</f>
        <v/>
      </c>
    </row>
    <row r="205">
      <c r="A205" s="30" t="n">
        <v>190</v>
      </c>
      <c r="B205" s="31">
        <f>EDATE($B$15,190)</f>
        <v/>
      </c>
      <c r="C205" s="32">
        <f>IF(J204&lt;=0,0,F205-J204)+IF(O204&lt;=0,0,K205-O204)+IF(T204&lt;=0,0,P205-T204)+IF(Y204&lt;=0,0,U205-Y204)+IF(AD204&lt;=0,0,Z205-AD204)+IF(AI204&lt;=0,0,AE205-AI204)+IF(AN204&lt;=0,0,AJ205-AN204)+IF(AS204&lt;=0,0,AO205-AS204)+IF(AX204&lt;=0,0,AT205-AX204)+IF(BC204&lt;=0,0,AY205-BC204)</f>
        <v/>
      </c>
      <c r="D205" s="32">
        <f>G205+I205+L205+N205+Q205+S205+V205+X205+AA205+AC205+AF205+AH205+AK205+AM205+AP205+AR205+AU205+AW205+AZ205+BB205</f>
        <v/>
      </c>
      <c r="E205" s="32">
        <f>J205+O205+T205+Y205+AD205+AI205+AN205+AS205+AX205+BC205</f>
        <v/>
      </c>
      <c r="F205" s="33">
        <f>IF(J204&lt;=0,0,ROUND(J204*(1+'Your debts'!$D$6/1200),2))</f>
        <v/>
      </c>
      <c r="G205" s="33">
        <f>IF(F205&lt;=0,0,MIN('Your debts'!$E$6,F205))</f>
        <v/>
      </c>
      <c r="H205" s="33">
        <f>F205-G205</f>
        <v/>
      </c>
      <c r="I205" s="33">
        <f>IF('Your debts'!$F$6="",0,MIN(H205,MAX(0,MAX(0,'Your debts'!$C$19-(G205+L205+Q205+V205+AA205+AF205+AK205+AP205+AU205+AZ205))-(IF(AND('Your debts'!$F$7&lt;&gt;"",'Your debts'!$F$6&lt;&gt;"",'Your debts'!$F$7&lt;'Your debts'!$F$6),M205,0)+IF(AND('Your debts'!$F$8&lt;&gt;"",'Your debts'!$F$6&lt;&gt;"",'Your debts'!$F$8&lt;'Your debts'!$F$6),R205,0)+IF(AND('Your debts'!$F$9&lt;&gt;"",'Your debts'!$F$6&lt;&gt;"",'Your debts'!$F$9&lt;'Your debts'!$F$6),W205,0)+IF(AND('Your debts'!$F$10&lt;&gt;"",'Your debts'!$F$6&lt;&gt;"",'Your debts'!$F$10&lt;'Your debts'!$F$6),AB205,0)+IF(AND('Your debts'!$F$11&lt;&gt;"",'Your debts'!$F$6&lt;&gt;"",'Your debts'!$F$11&lt;'Your debts'!$F$6),AG205,0)+IF(AND('Your debts'!$F$12&lt;&gt;"",'Your debts'!$F$6&lt;&gt;"",'Your debts'!$F$12&lt;'Your debts'!$F$6),AL205,0)+IF(AND('Your debts'!$F$13&lt;&gt;"",'Your debts'!$F$6&lt;&gt;"",'Your debts'!$F$13&lt;'Your debts'!$F$6),AQ205,0)+IF(AND('Your debts'!$F$14&lt;&gt;"",'Your debts'!$F$6&lt;&gt;"",'Your debts'!$F$14&lt;'Your debts'!$F$6),AV205,0)+IF(AND('Your debts'!$F$15&lt;&gt;"",'Your debts'!$F$6&lt;&gt;"",'Your debts'!$F$15&lt;'Your debts'!$F$6),BA205,0)))))</f>
        <v/>
      </c>
      <c r="J205" s="33">
        <f>H205-I205</f>
        <v/>
      </c>
      <c r="K205" s="33">
        <f>IF(O204&lt;=0,0,ROUND(O204*(1+'Your debts'!$D$7/1200),2))</f>
        <v/>
      </c>
      <c r="L205" s="33">
        <f>IF(K205&lt;=0,0,MIN('Your debts'!$E$7,K205))</f>
        <v/>
      </c>
      <c r="M205" s="33">
        <f>K205-L205</f>
        <v/>
      </c>
      <c r="N205" s="33">
        <f>IF('Your debts'!$F$7="",0,MIN(M205,MAX(0,MAX(0,'Your debts'!$C$19-(G205+L205+Q205+V205+AA205+AF205+AK205+AP205+AU205+AZ205))-(IF(AND('Your debts'!$F$6&lt;&gt;"",'Your debts'!$F$7&lt;&gt;"",'Your debts'!$F$6&lt;'Your debts'!$F$7),H205,0)+IF(AND('Your debts'!$F$8&lt;&gt;"",'Your debts'!$F$7&lt;&gt;"",'Your debts'!$F$8&lt;'Your debts'!$F$7),R205,0)+IF(AND('Your debts'!$F$9&lt;&gt;"",'Your debts'!$F$7&lt;&gt;"",'Your debts'!$F$9&lt;'Your debts'!$F$7),W205,0)+IF(AND('Your debts'!$F$10&lt;&gt;"",'Your debts'!$F$7&lt;&gt;"",'Your debts'!$F$10&lt;'Your debts'!$F$7),AB205,0)+IF(AND('Your debts'!$F$11&lt;&gt;"",'Your debts'!$F$7&lt;&gt;"",'Your debts'!$F$11&lt;'Your debts'!$F$7),AG205,0)+IF(AND('Your debts'!$F$12&lt;&gt;"",'Your debts'!$F$7&lt;&gt;"",'Your debts'!$F$12&lt;'Your debts'!$F$7),AL205,0)+IF(AND('Your debts'!$F$13&lt;&gt;"",'Your debts'!$F$7&lt;&gt;"",'Your debts'!$F$13&lt;'Your debts'!$F$7),AQ205,0)+IF(AND('Your debts'!$F$14&lt;&gt;"",'Your debts'!$F$7&lt;&gt;"",'Your debts'!$F$14&lt;'Your debts'!$F$7),AV205,0)+IF(AND('Your debts'!$F$15&lt;&gt;"",'Your debts'!$F$7&lt;&gt;"",'Your debts'!$F$15&lt;'Your debts'!$F$7),BA205,0)))))</f>
        <v/>
      </c>
      <c r="O205" s="33">
        <f>M205-N205</f>
        <v/>
      </c>
      <c r="P205" s="33">
        <f>IF(T204&lt;=0,0,ROUND(T204*(1+'Your debts'!$D$8/1200),2))</f>
        <v/>
      </c>
      <c r="Q205" s="33">
        <f>IF(P205&lt;=0,0,MIN('Your debts'!$E$8,P205))</f>
        <v/>
      </c>
      <c r="R205" s="33">
        <f>P205-Q205</f>
        <v/>
      </c>
      <c r="S205" s="33">
        <f>IF('Your debts'!$F$8="",0,MIN(R205,MAX(0,MAX(0,'Your debts'!$C$19-(G205+L205+Q205+V205+AA205+AF205+AK205+AP205+AU205+AZ205))-(IF(AND('Your debts'!$F$6&lt;&gt;"",'Your debts'!$F$8&lt;&gt;"",'Your debts'!$F$6&lt;'Your debts'!$F$8),H205,0)+IF(AND('Your debts'!$F$7&lt;&gt;"",'Your debts'!$F$8&lt;&gt;"",'Your debts'!$F$7&lt;'Your debts'!$F$8),M205,0)+IF(AND('Your debts'!$F$9&lt;&gt;"",'Your debts'!$F$8&lt;&gt;"",'Your debts'!$F$9&lt;'Your debts'!$F$8),W205,0)+IF(AND('Your debts'!$F$10&lt;&gt;"",'Your debts'!$F$8&lt;&gt;"",'Your debts'!$F$10&lt;'Your debts'!$F$8),AB205,0)+IF(AND('Your debts'!$F$11&lt;&gt;"",'Your debts'!$F$8&lt;&gt;"",'Your debts'!$F$11&lt;'Your debts'!$F$8),AG205,0)+IF(AND('Your debts'!$F$12&lt;&gt;"",'Your debts'!$F$8&lt;&gt;"",'Your debts'!$F$12&lt;'Your debts'!$F$8),AL205,0)+IF(AND('Your debts'!$F$13&lt;&gt;"",'Your debts'!$F$8&lt;&gt;"",'Your debts'!$F$13&lt;'Your debts'!$F$8),AQ205,0)+IF(AND('Your debts'!$F$14&lt;&gt;"",'Your debts'!$F$8&lt;&gt;"",'Your debts'!$F$14&lt;'Your debts'!$F$8),AV205,0)+IF(AND('Your debts'!$F$15&lt;&gt;"",'Your debts'!$F$8&lt;&gt;"",'Your debts'!$F$15&lt;'Your debts'!$F$8),BA205,0)))))</f>
        <v/>
      </c>
      <c r="T205" s="33">
        <f>R205-S205</f>
        <v/>
      </c>
      <c r="U205" s="33">
        <f>IF(Y204&lt;=0,0,ROUND(Y204*(1+'Your debts'!$D$9/1200),2))</f>
        <v/>
      </c>
      <c r="V205" s="33">
        <f>IF(U205&lt;=0,0,MIN('Your debts'!$E$9,U205))</f>
        <v/>
      </c>
      <c r="W205" s="33">
        <f>U205-V205</f>
        <v/>
      </c>
      <c r="X205" s="33">
        <f>IF('Your debts'!$F$9="",0,MIN(W205,MAX(0,MAX(0,'Your debts'!$C$19-(G205+L205+Q205+V205+AA205+AF205+AK205+AP205+AU205+AZ205))-(IF(AND('Your debts'!$F$6&lt;&gt;"",'Your debts'!$F$9&lt;&gt;"",'Your debts'!$F$6&lt;'Your debts'!$F$9),H205,0)+IF(AND('Your debts'!$F$7&lt;&gt;"",'Your debts'!$F$9&lt;&gt;"",'Your debts'!$F$7&lt;'Your debts'!$F$9),M205,0)+IF(AND('Your debts'!$F$8&lt;&gt;"",'Your debts'!$F$9&lt;&gt;"",'Your debts'!$F$8&lt;'Your debts'!$F$9),R205,0)+IF(AND('Your debts'!$F$10&lt;&gt;"",'Your debts'!$F$9&lt;&gt;"",'Your debts'!$F$10&lt;'Your debts'!$F$9),AB205,0)+IF(AND('Your debts'!$F$11&lt;&gt;"",'Your debts'!$F$9&lt;&gt;"",'Your debts'!$F$11&lt;'Your debts'!$F$9),AG205,0)+IF(AND('Your debts'!$F$12&lt;&gt;"",'Your debts'!$F$9&lt;&gt;"",'Your debts'!$F$12&lt;'Your debts'!$F$9),AL205,0)+IF(AND('Your debts'!$F$13&lt;&gt;"",'Your debts'!$F$9&lt;&gt;"",'Your debts'!$F$13&lt;'Your debts'!$F$9),AQ205,0)+IF(AND('Your debts'!$F$14&lt;&gt;"",'Your debts'!$F$9&lt;&gt;"",'Your debts'!$F$14&lt;'Your debts'!$F$9),AV205,0)+IF(AND('Your debts'!$F$15&lt;&gt;"",'Your debts'!$F$9&lt;&gt;"",'Your debts'!$F$15&lt;'Your debts'!$F$9),BA205,0)))))</f>
        <v/>
      </c>
      <c r="Y205" s="33">
        <f>W205-X205</f>
        <v/>
      </c>
      <c r="Z205" s="33">
        <f>IF(AD204&lt;=0,0,ROUND(AD204*(1+'Your debts'!$D$10/1200),2))</f>
        <v/>
      </c>
      <c r="AA205" s="33">
        <f>IF(Z205&lt;=0,0,MIN('Your debts'!$E$10,Z205))</f>
        <v/>
      </c>
      <c r="AB205" s="33">
        <f>Z205-AA205</f>
        <v/>
      </c>
      <c r="AC205" s="33">
        <f>IF('Your debts'!$F$10="",0,MIN(AB205,MAX(0,MAX(0,'Your debts'!$C$19-(G205+L205+Q205+V205+AA205+AF205+AK205+AP205+AU205+AZ205))-(IF(AND('Your debts'!$F$6&lt;&gt;"",'Your debts'!$F$10&lt;&gt;"",'Your debts'!$F$6&lt;'Your debts'!$F$10),H205,0)+IF(AND('Your debts'!$F$7&lt;&gt;"",'Your debts'!$F$10&lt;&gt;"",'Your debts'!$F$7&lt;'Your debts'!$F$10),M205,0)+IF(AND('Your debts'!$F$8&lt;&gt;"",'Your debts'!$F$10&lt;&gt;"",'Your debts'!$F$8&lt;'Your debts'!$F$10),R205,0)+IF(AND('Your debts'!$F$9&lt;&gt;"",'Your debts'!$F$10&lt;&gt;"",'Your debts'!$F$9&lt;'Your debts'!$F$10),W205,0)+IF(AND('Your debts'!$F$11&lt;&gt;"",'Your debts'!$F$10&lt;&gt;"",'Your debts'!$F$11&lt;'Your debts'!$F$10),AG205,0)+IF(AND('Your debts'!$F$12&lt;&gt;"",'Your debts'!$F$10&lt;&gt;"",'Your debts'!$F$12&lt;'Your debts'!$F$10),AL205,0)+IF(AND('Your debts'!$F$13&lt;&gt;"",'Your debts'!$F$10&lt;&gt;"",'Your debts'!$F$13&lt;'Your debts'!$F$10),AQ205,0)+IF(AND('Your debts'!$F$14&lt;&gt;"",'Your debts'!$F$10&lt;&gt;"",'Your debts'!$F$14&lt;'Your debts'!$F$10),AV205,0)+IF(AND('Your debts'!$F$15&lt;&gt;"",'Your debts'!$F$10&lt;&gt;"",'Your debts'!$F$15&lt;'Your debts'!$F$10),BA205,0)))))</f>
        <v/>
      </c>
      <c r="AD205" s="33">
        <f>AB205-AC205</f>
        <v/>
      </c>
      <c r="AE205" s="33">
        <f>IF(AI204&lt;=0,0,ROUND(AI204*(1+'Your debts'!$D$11/1200),2))</f>
        <v/>
      </c>
      <c r="AF205" s="33">
        <f>IF(AE205&lt;=0,0,MIN('Your debts'!$E$11,AE205))</f>
        <v/>
      </c>
      <c r="AG205" s="33">
        <f>AE205-AF205</f>
        <v/>
      </c>
      <c r="AH205" s="33">
        <f>IF('Your debts'!$F$11="",0,MIN(AG205,MAX(0,MAX(0,'Your debts'!$C$19-(G205+L205+Q205+V205+AA205+AF205+AK205+AP205+AU205+AZ205))-(IF(AND('Your debts'!$F$6&lt;&gt;"",'Your debts'!$F$11&lt;&gt;"",'Your debts'!$F$6&lt;'Your debts'!$F$11),H205,0)+IF(AND('Your debts'!$F$7&lt;&gt;"",'Your debts'!$F$11&lt;&gt;"",'Your debts'!$F$7&lt;'Your debts'!$F$11),M205,0)+IF(AND('Your debts'!$F$8&lt;&gt;"",'Your debts'!$F$11&lt;&gt;"",'Your debts'!$F$8&lt;'Your debts'!$F$11),R205,0)+IF(AND('Your debts'!$F$9&lt;&gt;"",'Your debts'!$F$11&lt;&gt;"",'Your debts'!$F$9&lt;'Your debts'!$F$11),W205,0)+IF(AND('Your debts'!$F$10&lt;&gt;"",'Your debts'!$F$11&lt;&gt;"",'Your debts'!$F$10&lt;'Your debts'!$F$11),AB205,0)+IF(AND('Your debts'!$F$12&lt;&gt;"",'Your debts'!$F$11&lt;&gt;"",'Your debts'!$F$12&lt;'Your debts'!$F$11),AL205,0)+IF(AND('Your debts'!$F$13&lt;&gt;"",'Your debts'!$F$11&lt;&gt;"",'Your debts'!$F$13&lt;'Your debts'!$F$11),AQ205,0)+IF(AND('Your debts'!$F$14&lt;&gt;"",'Your debts'!$F$11&lt;&gt;"",'Your debts'!$F$14&lt;'Your debts'!$F$11),AV205,0)+IF(AND('Your debts'!$F$15&lt;&gt;"",'Your debts'!$F$11&lt;&gt;"",'Your debts'!$F$15&lt;'Your debts'!$F$11),BA205,0)))))</f>
        <v/>
      </c>
      <c r="AI205" s="33">
        <f>AG205-AH205</f>
        <v/>
      </c>
      <c r="AJ205" s="33">
        <f>IF(AN204&lt;=0,0,ROUND(AN204*(1+'Your debts'!$D$12/1200),2))</f>
        <v/>
      </c>
      <c r="AK205" s="33">
        <f>IF(AJ205&lt;=0,0,MIN('Your debts'!$E$12,AJ205))</f>
        <v/>
      </c>
      <c r="AL205" s="33">
        <f>AJ205-AK205</f>
        <v/>
      </c>
      <c r="AM205" s="33">
        <f>IF('Your debts'!$F$12="",0,MIN(AL205,MAX(0,MAX(0,'Your debts'!$C$19-(G205+L205+Q205+V205+AA205+AF205+AK205+AP205+AU205+AZ205))-(IF(AND('Your debts'!$F$6&lt;&gt;"",'Your debts'!$F$12&lt;&gt;"",'Your debts'!$F$6&lt;'Your debts'!$F$12),H205,0)+IF(AND('Your debts'!$F$7&lt;&gt;"",'Your debts'!$F$12&lt;&gt;"",'Your debts'!$F$7&lt;'Your debts'!$F$12),M205,0)+IF(AND('Your debts'!$F$8&lt;&gt;"",'Your debts'!$F$12&lt;&gt;"",'Your debts'!$F$8&lt;'Your debts'!$F$12),R205,0)+IF(AND('Your debts'!$F$9&lt;&gt;"",'Your debts'!$F$12&lt;&gt;"",'Your debts'!$F$9&lt;'Your debts'!$F$12),W205,0)+IF(AND('Your debts'!$F$10&lt;&gt;"",'Your debts'!$F$12&lt;&gt;"",'Your debts'!$F$10&lt;'Your debts'!$F$12),AB205,0)+IF(AND('Your debts'!$F$11&lt;&gt;"",'Your debts'!$F$12&lt;&gt;"",'Your debts'!$F$11&lt;'Your debts'!$F$12),AG205,0)+IF(AND('Your debts'!$F$13&lt;&gt;"",'Your debts'!$F$12&lt;&gt;"",'Your debts'!$F$13&lt;'Your debts'!$F$12),AQ205,0)+IF(AND('Your debts'!$F$14&lt;&gt;"",'Your debts'!$F$12&lt;&gt;"",'Your debts'!$F$14&lt;'Your debts'!$F$12),AV205,0)+IF(AND('Your debts'!$F$15&lt;&gt;"",'Your debts'!$F$12&lt;&gt;"",'Your debts'!$F$15&lt;'Your debts'!$F$12),BA205,0)))))</f>
        <v/>
      </c>
      <c r="AN205" s="33">
        <f>AL205-AM205</f>
        <v/>
      </c>
      <c r="AO205" s="33">
        <f>IF(AS204&lt;=0,0,ROUND(AS204*(1+'Your debts'!$D$13/1200),2))</f>
        <v/>
      </c>
      <c r="AP205" s="33">
        <f>IF(AO205&lt;=0,0,MIN('Your debts'!$E$13,AO205))</f>
        <v/>
      </c>
      <c r="AQ205" s="33">
        <f>AO205-AP205</f>
        <v/>
      </c>
      <c r="AR205" s="33">
        <f>IF('Your debts'!$F$13="",0,MIN(AQ205,MAX(0,MAX(0,'Your debts'!$C$19-(G205+L205+Q205+V205+AA205+AF205+AK205+AP205+AU205+AZ205))-(IF(AND('Your debts'!$F$6&lt;&gt;"",'Your debts'!$F$13&lt;&gt;"",'Your debts'!$F$6&lt;'Your debts'!$F$13),H205,0)+IF(AND('Your debts'!$F$7&lt;&gt;"",'Your debts'!$F$13&lt;&gt;"",'Your debts'!$F$7&lt;'Your debts'!$F$13),M205,0)+IF(AND('Your debts'!$F$8&lt;&gt;"",'Your debts'!$F$13&lt;&gt;"",'Your debts'!$F$8&lt;'Your debts'!$F$13),R205,0)+IF(AND('Your debts'!$F$9&lt;&gt;"",'Your debts'!$F$13&lt;&gt;"",'Your debts'!$F$9&lt;'Your debts'!$F$13),W205,0)+IF(AND('Your debts'!$F$10&lt;&gt;"",'Your debts'!$F$13&lt;&gt;"",'Your debts'!$F$10&lt;'Your debts'!$F$13),AB205,0)+IF(AND('Your debts'!$F$11&lt;&gt;"",'Your debts'!$F$13&lt;&gt;"",'Your debts'!$F$11&lt;'Your debts'!$F$13),AG205,0)+IF(AND('Your debts'!$F$12&lt;&gt;"",'Your debts'!$F$13&lt;&gt;"",'Your debts'!$F$12&lt;'Your debts'!$F$13),AL205,0)+IF(AND('Your debts'!$F$14&lt;&gt;"",'Your debts'!$F$13&lt;&gt;"",'Your debts'!$F$14&lt;'Your debts'!$F$13),AV205,0)+IF(AND('Your debts'!$F$15&lt;&gt;"",'Your debts'!$F$13&lt;&gt;"",'Your debts'!$F$15&lt;'Your debts'!$F$13),BA205,0)))))</f>
        <v/>
      </c>
      <c r="AS205" s="33">
        <f>AQ205-AR205</f>
        <v/>
      </c>
      <c r="AT205" s="33">
        <f>IF(AX204&lt;=0,0,ROUND(AX204*(1+'Your debts'!$D$14/1200),2))</f>
        <v/>
      </c>
      <c r="AU205" s="33">
        <f>IF(AT205&lt;=0,0,MIN('Your debts'!$E$14,AT205))</f>
        <v/>
      </c>
      <c r="AV205" s="33">
        <f>AT205-AU205</f>
        <v/>
      </c>
      <c r="AW205" s="33">
        <f>IF('Your debts'!$F$14="",0,MIN(AV205,MAX(0,MAX(0,'Your debts'!$C$19-(G205+L205+Q205+V205+AA205+AF205+AK205+AP205+AU205+AZ205))-(IF(AND('Your debts'!$F$6&lt;&gt;"",'Your debts'!$F$14&lt;&gt;"",'Your debts'!$F$6&lt;'Your debts'!$F$14),H205,0)+IF(AND('Your debts'!$F$7&lt;&gt;"",'Your debts'!$F$14&lt;&gt;"",'Your debts'!$F$7&lt;'Your debts'!$F$14),M205,0)+IF(AND('Your debts'!$F$8&lt;&gt;"",'Your debts'!$F$14&lt;&gt;"",'Your debts'!$F$8&lt;'Your debts'!$F$14),R205,0)+IF(AND('Your debts'!$F$9&lt;&gt;"",'Your debts'!$F$14&lt;&gt;"",'Your debts'!$F$9&lt;'Your debts'!$F$14),W205,0)+IF(AND('Your debts'!$F$10&lt;&gt;"",'Your debts'!$F$14&lt;&gt;"",'Your debts'!$F$10&lt;'Your debts'!$F$14),AB205,0)+IF(AND('Your debts'!$F$11&lt;&gt;"",'Your debts'!$F$14&lt;&gt;"",'Your debts'!$F$11&lt;'Your debts'!$F$14),AG205,0)+IF(AND('Your debts'!$F$12&lt;&gt;"",'Your debts'!$F$14&lt;&gt;"",'Your debts'!$F$12&lt;'Your debts'!$F$14),AL205,0)+IF(AND('Your debts'!$F$13&lt;&gt;"",'Your debts'!$F$14&lt;&gt;"",'Your debts'!$F$13&lt;'Your debts'!$F$14),AQ205,0)+IF(AND('Your debts'!$F$15&lt;&gt;"",'Your debts'!$F$14&lt;&gt;"",'Your debts'!$F$15&lt;'Your debts'!$F$14),BA205,0)))))</f>
        <v/>
      </c>
      <c r="AX205" s="33">
        <f>AV205-AW205</f>
        <v/>
      </c>
      <c r="AY205" s="33">
        <f>IF(BC204&lt;=0,0,ROUND(BC204*(1+'Your debts'!$D$15/1200),2))</f>
        <v/>
      </c>
      <c r="AZ205" s="33">
        <f>IF(AY205&lt;=0,0,MIN('Your debts'!$E$15,AY205))</f>
        <v/>
      </c>
      <c r="BA205" s="33">
        <f>AY205-AZ205</f>
        <v/>
      </c>
      <c r="BB205" s="33">
        <f>IF('Your debts'!$F$15="",0,MIN(BA205,MAX(0,MAX(0,'Your debts'!$C$19-(G205+L205+Q205+V205+AA205+AF205+AK205+AP205+AU205+AZ205))-(IF(AND('Your debts'!$F$6&lt;&gt;"",'Your debts'!$F$15&lt;&gt;"",'Your debts'!$F$6&lt;'Your debts'!$F$15),H205,0)+IF(AND('Your debts'!$F$7&lt;&gt;"",'Your debts'!$F$15&lt;&gt;"",'Your debts'!$F$7&lt;'Your debts'!$F$15),M205,0)+IF(AND('Your debts'!$F$8&lt;&gt;"",'Your debts'!$F$15&lt;&gt;"",'Your debts'!$F$8&lt;'Your debts'!$F$15),R205,0)+IF(AND('Your debts'!$F$9&lt;&gt;"",'Your debts'!$F$15&lt;&gt;"",'Your debts'!$F$9&lt;'Your debts'!$F$15),W205,0)+IF(AND('Your debts'!$F$10&lt;&gt;"",'Your debts'!$F$15&lt;&gt;"",'Your debts'!$F$10&lt;'Your debts'!$F$15),AB205,0)+IF(AND('Your debts'!$F$11&lt;&gt;"",'Your debts'!$F$15&lt;&gt;"",'Your debts'!$F$11&lt;'Your debts'!$F$15),AG205,0)+IF(AND('Your debts'!$F$12&lt;&gt;"",'Your debts'!$F$15&lt;&gt;"",'Your debts'!$F$12&lt;'Your debts'!$F$15),AL205,0)+IF(AND('Your debts'!$F$13&lt;&gt;"",'Your debts'!$F$15&lt;&gt;"",'Your debts'!$F$13&lt;'Your debts'!$F$15),AQ205,0)+IF(AND('Your debts'!$F$14&lt;&gt;"",'Your debts'!$F$15&lt;&gt;"",'Your debts'!$F$14&lt;'Your debts'!$F$15),AV205,0)))))</f>
        <v/>
      </c>
      <c r="BC205" s="33">
        <f>BA205-BB205</f>
        <v/>
      </c>
    </row>
    <row r="206">
      <c r="A206" s="30" t="n">
        <v>191</v>
      </c>
      <c r="B206" s="31">
        <f>EDATE($B$15,191)</f>
        <v/>
      </c>
      <c r="C206" s="32">
        <f>IF(J205&lt;=0,0,F206-J205)+IF(O205&lt;=0,0,K206-O205)+IF(T205&lt;=0,0,P206-T205)+IF(Y205&lt;=0,0,U206-Y205)+IF(AD205&lt;=0,0,Z206-AD205)+IF(AI205&lt;=0,0,AE206-AI205)+IF(AN205&lt;=0,0,AJ206-AN205)+IF(AS205&lt;=0,0,AO206-AS205)+IF(AX205&lt;=0,0,AT206-AX205)+IF(BC205&lt;=0,0,AY206-BC205)</f>
        <v/>
      </c>
      <c r="D206" s="32">
        <f>G206+I206+L206+N206+Q206+S206+V206+X206+AA206+AC206+AF206+AH206+AK206+AM206+AP206+AR206+AU206+AW206+AZ206+BB206</f>
        <v/>
      </c>
      <c r="E206" s="32">
        <f>J206+O206+T206+Y206+AD206+AI206+AN206+AS206+AX206+BC206</f>
        <v/>
      </c>
      <c r="F206" s="33">
        <f>IF(J205&lt;=0,0,ROUND(J205*(1+'Your debts'!$D$6/1200),2))</f>
        <v/>
      </c>
      <c r="G206" s="33">
        <f>IF(F206&lt;=0,0,MIN('Your debts'!$E$6,F206))</f>
        <v/>
      </c>
      <c r="H206" s="33">
        <f>F206-G206</f>
        <v/>
      </c>
      <c r="I206" s="33">
        <f>IF('Your debts'!$F$6="",0,MIN(H206,MAX(0,MAX(0,'Your debts'!$C$19-(G206+L206+Q206+V206+AA206+AF206+AK206+AP206+AU206+AZ206))-(IF(AND('Your debts'!$F$7&lt;&gt;"",'Your debts'!$F$6&lt;&gt;"",'Your debts'!$F$7&lt;'Your debts'!$F$6),M206,0)+IF(AND('Your debts'!$F$8&lt;&gt;"",'Your debts'!$F$6&lt;&gt;"",'Your debts'!$F$8&lt;'Your debts'!$F$6),R206,0)+IF(AND('Your debts'!$F$9&lt;&gt;"",'Your debts'!$F$6&lt;&gt;"",'Your debts'!$F$9&lt;'Your debts'!$F$6),W206,0)+IF(AND('Your debts'!$F$10&lt;&gt;"",'Your debts'!$F$6&lt;&gt;"",'Your debts'!$F$10&lt;'Your debts'!$F$6),AB206,0)+IF(AND('Your debts'!$F$11&lt;&gt;"",'Your debts'!$F$6&lt;&gt;"",'Your debts'!$F$11&lt;'Your debts'!$F$6),AG206,0)+IF(AND('Your debts'!$F$12&lt;&gt;"",'Your debts'!$F$6&lt;&gt;"",'Your debts'!$F$12&lt;'Your debts'!$F$6),AL206,0)+IF(AND('Your debts'!$F$13&lt;&gt;"",'Your debts'!$F$6&lt;&gt;"",'Your debts'!$F$13&lt;'Your debts'!$F$6),AQ206,0)+IF(AND('Your debts'!$F$14&lt;&gt;"",'Your debts'!$F$6&lt;&gt;"",'Your debts'!$F$14&lt;'Your debts'!$F$6),AV206,0)+IF(AND('Your debts'!$F$15&lt;&gt;"",'Your debts'!$F$6&lt;&gt;"",'Your debts'!$F$15&lt;'Your debts'!$F$6),BA206,0)))))</f>
        <v/>
      </c>
      <c r="J206" s="33">
        <f>H206-I206</f>
        <v/>
      </c>
      <c r="K206" s="33">
        <f>IF(O205&lt;=0,0,ROUND(O205*(1+'Your debts'!$D$7/1200),2))</f>
        <v/>
      </c>
      <c r="L206" s="33">
        <f>IF(K206&lt;=0,0,MIN('Your debts'!$E$7,K206))</f>
        <v/>
      </c>
      <c r="M206" s="33">
        <f>K206-L206</f>
        <v/>
      </c>
      <c r="N206" s="33">
        <f>IF('Your debts'!$F$7="",0,MIN(M206,MAX(0,MAX(0,'Your debts'!$C$19-(G206+L206+Q206+V206+AA206+AF206+AK206+AP206+AU206+AZ206))-(IF(AND('Your debts'!$F$6&lt;&gt;"",'Your debts'!$F$7&lt;&gt;"",'Your debts'!$F$6&lt;'Your debts'!$F$7),H206,0)+IF(AND('Your debts'!$F$8&lt;&gt;"",'Your debts'!$F$7&lt;&gt;"",'Your debts'!$F$8&lt;'Your debts'!$F$7),R206,0)+IF(AND('Your debts'!$F$9&lt;&gt;"",'Your debts'!$F$7&lt;&gt;"",'Your debts'!$F$9&lt;'Your debts'!$F$7),W206,0)+IF(AND('Your debts'!$F$10&lt;&gt;"",'Your debts'!$F$7&lt;&gt;"",'Your debts'!$F$10&lt;'Your debts'!$F$7),AB206,0)+IF(AND('Your debts'!$F$11&lt;&gt;"",'Your debts'!$F$7&lt;&gt;"",'Your debts'!$F$11&lt;'Your debts'!$F$7),AG206,0)+IF(AND('Your debts'!$F$12&lt;&gt;"",'Your debts'!$F$7&lt;&gt;"",'Your debts'!$F$12&lt;'Your debts'!$F$7),AL206,0)+IF(AND('Your debts'!$F$13&lt;&gt;"",'Your debts'!$F$7&lt;&gt;"",'Your debts'!$F$13&lt;'Your debts'!$F$7),AQ206,0)+IF(AND('Your debts'!$F$14&lt;&gt;"",'Your debts'!$F$7&lt;&gt;"",'Your debts'!$F$14&lt;'Your debts'!$F$7),AV206,0)+IF(AND('Your debts'!$F$15&lt;&gt;"",'Your debts'!$F$7&lt;&gt;"",'Your debts'!$F$15&lt;'Your debts'!$F$7),BA206,0)))))</f>
        <v/>
      </c>
      <c r="O206" s="33">
        <f>M206-N206</f>
        <v/>
      </c>
      <c r="P206" s="33">
        <f>IF(T205&lt;=0,0,ROUND(T205*(1+'Your debts'!$D$8/1200),2))</f>
        <v/>
      </c>
      <c r="Q206" s="33">
        <f>IF(P206&lt;=0,0,MIN('Your debts'!$E$8,P206))</f>
        <v/>
      </c>
      <c r="R206" s="33">
        <f>P206-Q206</f>
        <v/>
      </c>
      <c r="S206" s="33">
        <f>IF('Your debts'!$F$8="",0,MIN(R206,MAX(0,MAX(0,'Your debts'!$C$19-(G206+L206+Q206+V206+AA206+AF206+AK206+AP206+AU206+AZ206))-(IF(AND('Your debts'!$F$6&lt;&gt;"",'Your debts'!$F$8&lt;&gt;"",'Your debts'!$F$6&lt;'Your debts'!$F$8),H206,0)+IF(AND('Your debts'!$F$7&lt;&gt;"",'Your debts'!$F$8&lt;&gt;"",'Your debts'!$F$7&lt;'Your debts'!$F$8),M206,0)+IF(AND('Your debts'!$F$9&lt;&gt;"",'Your debts'!$F$8&lt;&gt;"",'Your debts'!$F$9&lt;'Your debts'!$F$8),W206,0)+IF(AND('Your debts'!$F$10&lt;&gt;"",'Your debts'!$F$8&lt;&gt;"",'Your debts'!$F$10&lt;'Your debts'!$F$8),AB206,0)+IF(AND('Your debts'!$F$11&lt;&gt;"",'Your debts'!$F$8&lt;&gt;"",'Your debts'!$F$11&lt;'Your debts'!$F$8),AG206,0)+IF(AND('Your debts'!$F$12&lt;&gt;"",'Your debts'!$F$8&lt;&gt;"",'Your debts'!$F$12&lt;'Your debts'!$F$8),AL206,0)+IF(AND('Your debts'!$F$13&lt;&gt;"",'Your debts'!$F$8&lt;&gt;"",'Your debts'!$F$13&lt;'Your debts'!$F$8),AQ206,0)+IF(AND('Your debts'!$F$14&lt;&gt;"",'Your debts'!$F$8&lt;&gt;"",'Your debts'!$F$14&lt;'Your debts'!$F$8),AV206,0)+IF(AND('Your debts'!$F$15&lt;&gt;"",'Your debts'!$F$8&lt;&gt;"",'Your debts'!$F$15&lt;'Your debts'!$F$8),BA206,0)))))</f>
        <v/>
      </c>
      <c r="T206" s="33">
        <f>R206-S206</f>
        <v/>
      </c>
      <c r="U206" s="33">
        <f>IF(Y205&lt;=0,0,ROUND(Y205*(1+'Your debts'!$D$9/1200),2))</f>
        <v/>
      </c>
      <c r="V206" s="33">
        <f>IF(U206&lt;=0,0,MIN('Your debts'!$E$9,U206))</f>
        <v/>
      </c>
      <c r="W206" s="33">
        <f>U206-V206</f>
        <v/>
      </c>
      <c r="X206" s="33">
        <f>IF('Your debts'!$F$9="",0,MIN(W206,MAX(0,MAX(0,'Your debts'!$C$19-(G206+L206+Q206+V206+AA206+AF206+AK206+AP206+AU206+AZ206))-(IF(AND('Your debts'!$F$6&lt;&gt;"",'Your debts'!$F$9&lt;&gt;"",'Your debts'!$F$6&lt;'Your debts'!$F$9),H206,0)+IF(AND('Your debts'!$F$7&lt;&gt;"",'Your debts'!$F$9&lt;&gt;"",'Your debts'!$F$7&lt;'Your debts'!$F$9),M206,0)+IF(AND('Your debts'!$F$8&lt;&gt;"",'Your debts'!$F$9&lt;&gt;"",'Your debts'!$F$8&lt;'Your debts'!$F$9),R206,0)+IF(AND('Your debts'!$F$10&lt;&gt;"",'Your debts'!$F$9&lt;&gt;"",'Your debts'!$F$10&lt;'Your debts'!$F$9),AB206,0)+IF(AND('Your debts'!$F$11&lt;&gt;"",'Your debts'!$F$9&lt;&gt;"",'Your debts'!$F$11&lt;'Your debts'!$F$9),AG206,0)+IF(AND('Your debts'!$F$12&lt;&gt;"",'Your debts'!$F$9&lt;&gt;"",'Your debts'!$F$12&lt;'Your debts'!$F$9),AL206,0)+IF(AND('Your debts'!$F$13&lt;&gt;"",'Your debts'!$F$9&lt;&gt;"",'Your debts'!$F$13&lt;'Your debts'!$F$9),AQ206,0)+IF(AND('Your debts'!$F$14&lt;&gt;"",'Your debts'!$F$9&lt;&gt;"",'Your debts'!$F$14&lt;'Your debts'!$F$9),AV206,0)+IF(AND('Your debts'!$F$15&lt;&gt;"",'Your debts'!$F$9&lt;&gt;"",'Your debts'!$F$15&lt;'Your debts'!$F$9),BA206,0)))))</f>
        <v/>
      </c>
      <c r="Y206" s="33">
        <f>W206-X206</f>
        <v/>
      </c>
      <c r="Z206" s="33">
        <f>IF(AD205&lt;=0,0,ROUND(AD205*(1+'Your debts'!$D$10/1200),2))</f>
        <v/>
      </c>
      <c r="AA206" s="33">
        <f>IF(Z206&lt;=0,0,MIN('Your debts'!$E$10,Z206))</f>
        <v/>
      </c>
      <c r="AB206" s="33">
        <f>Z206-AA206</f>
        <v/>
      </c>
      <c r="AC206" s="33">
        <f>IF('Your debts'!$F$10="",0,MIN(AB206,MAX(0,MAX(0,'Your debts'!$C$19-(G206+L206+Q206+V206+AA206+AF206+AK206+AP206+AU206+AZ206))-(IF(AND('Your debts'!$F$6&lt;&gt;"",'Your debts'!$F$10&lt;&gt;"",'Your debts'!$F$6&lt;'Your debts'!$F$10),H206,0)+IF(AND('Your debts'!$F$7&lt;&gt;"",'Your debts'!$F$10&lt;&gt;"",'Your debts'!$F$7&lt;'Your debts'!$F$10),M206,0)+IF(AND('Your debts'!$F$8&lt;&gt;"",'Your debts'!$F$10&lt;&gt;"",'Your debts'!$F$8&lt;'Your debts'!$F$10),R206,0)+IF(AND('Your debts'!$F$9&lt;&gt;"",'Your debts'!$F$10&lt;&gt;"",'Your debts'!$F$9&lt;'Your debts'!$F$10),W206,0)+IF(AND('Your debts'!$F$11&lt;&gt;"",'Your debts'!$F$10&lt;&gt;"",'Your debts'!$F$11&lt;'Your debts'!$F$10),AG206,0)+IF(AND('Your debts'!$F$12&lt;&gt;"",'Your debts'!$F$10&lt;&gt;"",'Your debts'!$F$12&lt;'Your debts'!$F$10),AL206,0)+IF(AND('Your debts'!$F$13&lt;&gt;"",'Your debts'!$F$10&lt;&gt;"",'Your debts'!$F$13&lt;'Your debts'!$F$10),AQ206,0)+IF(AND('Your debts'!$F$14&lt;&gt;"",'Your debts'!$F$10&lt;&gt;"",'Your debts'!$F$14&lt;'Your debts'!$F$10),AV206,0)+IF(AND('Your debts'!$F$15&lt;&gt;"",'Your debts'!$F$10&lt;&gt;"",'Your debts'!$F$15&lt;'Your debts'!$F$10),BA206,0)))))</f>
        <v/>
      </c>
      <c r="AD206" s="33">
        <f>AB206-AC206</f>
        <v/>
      </c>
      <c r="AE206" s="33">
        <f>IF(AI205&lt;=0,0,ROUND(AI205*(1+'Your debts'!$D$11/1200),2))</f>
        <v/>
      </c>
      <c r="AF206" s="33">
        <f>IF(AE206&lt;=0,0,MIN('Your debts'!$E$11,AE206))</f>
        <v/>
      </c>
      <c r="AG206" s="33">
        <f>AE206-AF206</f>
        <v/>
      </c>
      <c r="AH206" s="33">
        <f>IF('Your debts'!$F$11="",0,MIN(AG206,MAX(0,MAX(0,'Your debts'!$C$19-(G206+L206+Q206+V206+AA206+AF206+AK206+AP206+AU206+AZ206))-(IF(AND('Your debts'!$F$6&lt;&gt;"",'Your debts'!$F$11&lt;&gt;"",'Your debts'!$F$6&lt;'Your debts'!$F$11),H206,0)+IF(AND('Your debts'!$F$7&lt;&gt;"",'Your debts'!$F$11&lt;&gt;"",'Your debts'!$F$7&lt;'Your debts'!$F$11),M206,0)+IF(AND('Your debts'!$F$8&lt;&gt;"",'Your debts'!$F$11&lt;&gt;"",'Your debts'!$F$8&lt;'Your debts'!$F$11),R206,0)+IF(AND('Your debts'!$F$9&lt;&gt;"",'Your debts'!$F$11&lt;&gt;"",'Your debts'!$F$9&lt;'Your debts'!$F$11),W206,0)+IF(AND('Your debts'!$F$10&lt;&gt;"",'Your debts'!$F$11&lt;&gt;"",'Your debts'!$F$10&lt;'Your debts'!$F$11),AB206,0)+IF(AND('Your debts'!$F$12&lt;&gt;"",'Your debts'!$F$11&lt;&gt;"",'Your debts'!$F$12&lt;'Your debts'!$F$11),AL206,0)+IF(AND('Your debts'!$F$13&lt;&gt;"",'Your debts'!$F$11&lt;&gt;"",'Your debts'!$F$13&lt;'Your debts'!$F$11),AQ206,0)+IF(AND('Your debts'!$F$14&lt;&gt;"",'Your debts'!$F$11&lt;&gt;"",'Your debts'!$F$14&lt;'Your debts'!$F$11),AV206,0)+IF(AND('Your debts'!$F$15&lt;&gt;"",'Your debts'!$F$11&lt;&gt;"",'Your debts'!$F$15&lt;'Your debts'!$F$11),BA206,0)))))</f>
        <v/>
      </c>
      <c r="AI206" s="33">
        <f>AG206-AH206</f>
        <v/>
      </c>
      <c r="AJ206" s="33">
        <f>IF(AN205&lt;=0,0,ROUND(AN205*(1+'Your debts'!$D$12/1200),2))</f>
        <v/>
      </c>
      <c r="AK206" s="33">
        <f>IF(AJ206&lt;=0,0,MIN('Your debts'!$E$12,AJ206))</f>
        <v/>
      </c>
      <c r="AL206" s="33">
        <f>AJ206-AK206</f>
        <v/>
      </c>
      <c r="AM206" s="33">
        <f>IF('Your debts'!$F$12="",0,MIN(AL206,MAX(0,MAX(0,'Your debts'!$C$19-(G206+L206+Q206+V206+AA206+AF206+AK206+AP206+AU206+AZ206))-(IF(AND('Your debts'!$F$6&lt;&gt;"",'Your debts'!$F$12&lt;&gt;"",'Your debts'!$F$6&lt;'Your debts'!$F$12),H206,0)+IF(AND('Your debts'!$F$7&lt;&gt;"",'Your debts'!$F$12&lt;&gt;"",'Your debts'!$F$7&lt;'Your debts'!$F$12),M206,0)+IF(AND('Your debts'!$F$8&lt;&gt;"",'Your debts'!$F$12&lt;&gt;"",'Your debts'!$F$8&lt;'Your debts'!$F$12),R206,0)+IF(AND('Your debts'!$F$9&lt;&gt;"",'Your debts'!$F$12&lt;&gt;"",'Your debts'!$F$9&lt;'Your debts'!$F$12),W206,0)+IF(AND('Your debts'!$F$10&lt;&gt;"",'Your debts'!$F$12&lt;&gt;"",'Your debts'!$F$10&lt;'Your debts'!$F$12),AB206,0)+IF(AND('Your debts'!$F$11&lt;&gt;"",'Your debts'!$F$12&lt;&gt;"",'Your debts'!$F$11&lt;'Your debts'!$F$12),AG206,0)+IF(AND('Your debts'!$F$13&lt;&gt;"",'Your debts'!$F$12&lt;&gt;"",'Your debts'!$F$13&lt;'Your debts'!$F$12),AQ206,0)+IF(AND('Your debts'!$F$14&lt;&gt;"",'Your debts'!$F$12&lt;&gt;"",'Your debts'!$F$14&lt;'Your debts'!$F$12),AV206,0)+IF(AND('Your debts'!$F$15&lt;&gt;"",'Your debts'!$F$12&lt;&gt;"",'Your debts'!$F$15&lt;'Your debts'!$F$12),BA206,0)))))</f>
        <v/>
      </c>
      <c r="AN206" s="33">
        <f>AL206-AM206</f>
        <v/>
      </c>
      <c r="AO206" s="33">
        <f>IF(AS205&lt;=0,0,ROUND(AS205*(1+'Your debts'!$D$13/1200),2))</f>
        <v/>
      </c>
      <c r="AP206" s="33">
        <f>IF(AO206&lt;=0,0,MIN('Your debts'!$E$13,AO206))</f>
        <v/>
      </c>
      <c r="AQ206" s="33">
        <f>AO206-AP206</f>
        <v/>
      </c>
      <c r="AR206" s="33">
        <f>IF('Your debts'!$F$13="",0,MIN(AQ206,MAX(0,MAX(0,'Your debts'!$C$19-(G206+L206+Q206+V206+AA206+AF206+AK206+AP206+AU206+AZ206))-(IF(AND('Your debts'!$F$6&lt;&gt;"",'Your debts'!$F$13&lt;&gt;"",'Your debts'!$F$6&lt;'Your debts'!$F$13),H206,0)+IF(AND('Your debts'!$F$7&lt;&gt;"",'Your debts'!$F$13&lt;&gt;"",'Your debts'!$F$7&lt;'Your debts'!$F$13),M206,0)+IF(AND('Your debts'!$F$8&lt;&gt;"",'Your debts'!$F$13&lt;&gt;"",'Your debts'!$F$8&lt;'Your debts'!$F$13),R206,0)+IF(AND('Your debts'!$F$9&lt;&gt;"",'Your debts'!$F$13&lt;&gt;"",'Your debts'!$F$9&lt;'Your debts'!$F$13),W206,0)+IF(AND('Your debts'!$F$10&lt;&gt;"",'Your debts'!$F$13&lt;&gt;"",'Your debts'!$F$10&lt;'Your debts'!$F$13),AB206,0)+IF(AND('Your debts'!$F$11&lt;&gt;"",'Your debts'!$F$13&lt;&gt;"",'Your debts'!$F$11&lt;'Your debts'!$F$13),AG206,0)+IF(AND('Your debts'!$F$12&lt;&gt;"",'Your debts'!$F$13&lt;&gt;"",'Your debts'!$F$12&lt;'Your debts'!$F$13),AL206,0)+IF(AND('Your debts'!$F$14&lt;&gt;"",'Your debts'!$F$13&lt;&gt;"",'Your debts'!$F$14&lt;'Your debts'!$F$13),AV206,0)+IF(AND('Your debts'!$F$15&lt;&gt;"",'Your debts'!$F$13&lt;&gt;"",'Your debts'!$F$15&lt;'Your debts'!$F$13),BA206,0)))))</f>
        <v/>
      </c>
      <c r="AS206" s="33">
        <f>AQ206-AR206</f>
        <v/>
      </c>
      <c r="AT206" s="33">
        <f>IF(AX205&lt;=0,0,ROUND(AX205*(1+'Your debts'!$D$14/1200),2))</f>
        <v/>
      </c>
      <c r="AU206" s="33">
        <f>IF(AT206&lt;=0,0,MIN('Your debts'!$E$14,AT206))</f>
        <v/>
      </c>
      <c r="AV206" s="33">
        <f>AT206-AU206</f>
        <v/>
      </c>
      <c r="AW206" s="33">
        <f>IF('Your debts'!$F$14="",0,MIN(AV206,MAX(0,MAX(0,'Your debts'!$C$19-(G206+L206+Q206+V206+AA206+AF206+AK206+AP206+AU206+AZ206))-(IF(AND('Your debts'!$F$6&lt;&gt;"",'Your debts'!$F$14&lt;&gt;"",'Your debts'!$F$6&lt;'Your debts'!$F$14),H206,0)+IF(AND('Your debts'!$F$7&lt;&gt;"",'Your debts'!$F$14&lt;&gt;"",'Your debts'!$F$7&lt;'Your debts'!$F$14),M206,0)+IF(AND('Your debts'!$F$8&lt;&gt;"",'Your debts'!$F$14&lt;&gt;"",'Your debts'!$F$8&lt;'Your debts'!$F$14),R206,0)+IF(AND('Your debts'!$F$9&lt;&gt;"",'Your debts'!$F$14&lt;&gt;"",'Your debts'!$F$9&lt;'Your debts'!$F$14),W206,0)+IF(AND('Your debts'!$F$10&lt;&gt;"",'Your debts'!$F$14&lt;&gt;"",'Your debts'!$F$10&lt;'Your debts'!$F$14),AB206,0)+IF(AND('Your debts'!$F$11&lt;&gt;"",'Your debts'!$F$14&lt;&gt;"",'Your debts'!$F$11&lt;'Your debts'!$F$14),AG206,0)+IF(AND('Your debts'!$F$12&lt;&gt;"",'Your debts'!$F$14&lt;&gt;"",'Your debts'!$F$12&lt;'Your debts'!$F$14),AL206,0)+IF(AND('Your debts'!$F$13&lt;&gt;"",'Your debts'!$F$14&lt;&gt;"",'Your debts'!$F$13&lt;'Your debts'!$F$14),AQ206,0)+IF(AND('Your debts'!$F$15&lt;&gt;"",'Your debts'!$F$14&lt;&gt;"",'Your debts'!$F$15&lt;'Your debts'!$F$14),BA206,0)))))</f>
        <v/>
      </c>
      <c r="AX206" s="33">
        <f>AV206-AW206</f>
        <v/>
      </c>
      <c r="AY206" s="33">
        <f>IF(BC205&lt;=0,0,ROUND(BC205*(1+'Your debts'!$D$15/1200),2))</f>
        <v/>
      </c>
      <c r="AZ206" s="33">
        <f>IF(AY206&lt;=0,0,MIN('Your debts'!$E$15,AY206))</f>
        <v/>
      </c>
      <c r="BA206" s="33">
        <f>AY206-AZ206</f>
        <v/>
      </c>
      <c r="BB206" s="33">
        <f>IF('Your debts'!$F$15="",0,MIN(BA206,MAX(0,MAX(0,'Your debts'!$C$19-(G206+L206+Q206+V206+AA206+AF206+AK206+AP206+AU206+AZ206))-(IF(AND('Your debts'!$F$6&lt;&gt;"",'Your debts'!$F$15&lt;&gt;"",'Your debts'!$F$6&lt;'Your debts'!$F$15),H206,0)+IF(AND('Your debts'!$F$7&lt;&gt;"",'Your debts'!$F$15&lt;&gt;"",'Your debts'!$F$7&lt;'Your debts'!$F$15),M206,0)+IF(AND('Your debts'!$F$8&lt;&gt;"",'Your debts'!$F$15&lt;&gt;"",'Your debts'!$F$8&lt;'Your debts'!$F$15),R206,0)+IF(AND('Your debts'!$F$9&lt;&gt;"",'Your debts'!$F$15&lt;&gt;"",'Your debts'!$F$9&lt;'Your debts'!$F$15),W206,0)+IF(AND('Your debts'!$F$10&lt;&gt;"",'Your debts'!$F$15&lt;&gt;"",'Your debts'!$F$10&lt;'Your debts'!$F$15),AB206,0)+IF(AND('Your debts'!$F$11&lt;&gt;"",'Your debts'!$F$15&lt;&gt;"",'Your debts'!$F$11&lt;'Your debts'!$F$15),AG206,0)+IF(AND('Your debts'!$F$12&lt;&gt;"",'Your debts'!$F$15&lt;&gt;"",'Your debts'!$F$12&lt;'Your debts'!$F$15),AL206,0)+IF(AND('Your debts'!$F$13&lt;&gt;"",'Your debts'!$F$15&lt;&gt;"",'Your debts'!$F$13&lt;'Your debts'!$F$15),AQ206,0)+IF(AND('Your debts'!$F$14&lt;&gt;"",'Your debts'!$F$15&lt;&gt;"",'Your debts'!$F$14&lt;'Your debts'!$F$15),AV206,0)))))</f>
        <v/>
      </c>
      <c r="BC206" s="33">
        <f>BA206-BB206</f>
        <v/>
      </c>
    </row>
    <row r="207">
      <c r="A207" s="30" t="n">
        <v>192</v>
      </c>
      <c r="B207" s="31">
        <f>EDATE($B$15,192)</f>
        <v/>
      </c>
      <c r="C207" s="32">
        <f>IF(J206&lt;=0,0,F207-J206)+IF(O206&lt;=0,0,K207-O206)+IF(T206&lt;=0,0,P207-T206)+IF(Y206&lt;=0,0,U207-Y206)+IF(AD206&lt;=0,0,Z207-AD206)+IF(AI206&lt;=0,0,AE207-AI206)+IF(AN206&lt;=0,0,AJ207-AN206)+IF(AS206&lt;=0,0,AO207-AS206)+IF(AX206&lt;=0,0,AT207-AX206)+IF(BC206&lt;=0,0,AY207-BC206)</f>
        <v/>
      </c>
      <c r="D207" s="32">
        <f>G207+I207+L207+N207+Q207+S207+V207+X207+AA207+AC207+AF207+AH207+AK207+AM207+AP207+AR207+AU207+AW207+AZ207+BB207</f>
        <v/>
      </c>
      <c r="E207" s="32">
        <f>J207+O207+T207+Y207+AD207+AI207+AN207+AS207+AX207+BC207</f>
        <v/>
      </c>
      <c r="F207" s="33">
        <f>IF(J206&lt;=0,0,ROUND(J206*(1+'Your debts'!$D$6/1200),2))</f>
        <v/>
      </c>
      <c r="G207" s="33">
        <f>IF(F207&lt;=0,0,MIN('Your debts'!$E$6,F207))</f>
        <v/>
      </c>
      <c r="H207" s="33">
        <f>F207-G207</f>
        <v/>
      </c>
      <c r="I207" s="33">
        <f>IF('Your debts'!$F$6="",0,MIN(H207,MAX(0,MAX(0,'Your debts'!$C$19-(G207+L207+Q207+V207+AA207+AF207+AK207+AP207+AU207+AZ207))-(IF(AND('Your debts'!$F$7&lt;&gt;"",'Your debts'!$F$6&lt;&gt;"",'Your debts'!$F$7&lt;'Your debts'!$F$6),M207,0)+IF(AND('Your debts'!$F$8&lt;&gt;"",'Your debts'!$F$6&lt;&gt;"",'Your debts'!$F$8&lt;'Your debts'!$F$6),R207,0)+IF(AND('Your debts'!$F$9&lt;&gt;"",'Your debts'!$F$6&lt;&gt;"",'Your debts'!$F$9&lt;'Your debts'!$F$6),W207,0)+IF(AND('Your debts'!$F$10&lt;&gt;"",'Your debts'!$F$6&lt;&gt;"",'Your debts'!$F$10&lt;'Your debts'!$F$6),AB207,0)+IF(AND('Your debts'!$F$11&lt;&gt;"",'Your debts'!$F$6&lt;&gt;"",'Your debts'!$F$11&lt;'Your debts'!$F$6),AG207,0)+IF(AND('Your debts'!$F$12&lt;&gt;"",'Your debts'!$F$6&lt;&gt;"",'Your debts'!$F$12&lt;'Your debts'!$F$6),AL207,0)+IF(AND('Your debts'!$F$13&lt;&gt;"",'Your debts'!$F$6&lt;&gt;"",'Your debts'!$F$13&lt;'Your debts'!$F$6),AQ207,0)+IF(AND('Your debts'!$F$14&lt;&gt;"",'Your debts'!$F$6&lt;&gt;"",'Your debts'!$F$14&lt;'Your debts'!$F$6),AV207,0)+IF(AND('Your debts'!$F$15&lt;&gt;"",'Your debts'!$F$6&lt;&gt;"",'Your debts'!$F$15&lt;'Your debts'!$F$6),BA207,0)))))</f>
        <v/>
      </c>
      <c r="J207" s="33">
        <f>H207-I207</f>
        <v/>
      </c>
      <c r="K207" s="33">
        <f>IF(O206&lt;=0,0,ROUND(O206*(1+'Your debts'!$D$7/1200),2))</f>
        <v/>
      </c>
      <c r="L207" s="33">
        <f>IF(K207&lt;=0,0,MIN('Your debts'!$E$7,K207))</f>
        <v/>
      </c>
      <c r="M207" s="33">
        <f>K207-L207</f>
        <v/>
      </c>
      <c r="N207" s="33">
        <f>IF('Your debts'!$F$7="",0,MIN(M207,MAX(0,MAX(0,'Your debts'!$C$19-(G207+L207+Q207+V207+AA207+AF207+AK207+AP207+AU207+AZ207))-(IF(AND('Your debts'!$F$6&lt;&gt;"",'Your debts'!$F$7&lt;&gt;"",'Your debts'!$F$6&lt;'Your debts'!$F$7),H207,0)+IF(AND('Your debts'!$F$8&lt;&gt;"",'Your debts'!$F$7&lt;&gt;"",'Your debts'!$F$8&lt;'Your debts'!$F$7),R207,0)+IF(AND('Your debts'!$F$9&lt;&gt;"",'Your debts'!$F$7&lt;&gt;"",'Your debts'!$F$9&lt;'Your debts'!$F$7),W207,0)+IF(AND('Your debts'!$F$10&lt;&gt;"",'Your debts'!$F$7&lt;&gt;"",'Your debts'!$F$10&lt;'Your debts'!$F$7),AB207,0)+IF(AND('Your debts'!$F$11&lt;&gt;"",'Your debts'!$F$7&lt;&gt;"",'Your debts'!$F$11&lt;'Your debts'!$F$7),AG207,0)+IF(AND('Your debts'!$F$12&lt;&gt;"",'Your debts'!$F$7&lt;&gt;"",'Your debts'!$F$12&lt;'Your debts'!$F$7),AL207,0)+IF(AND('Your debts'!$F$13&lt;&gt;"",'Your debts'!$F$7&lt;&gt;"",'Your debts'!$F$13&lt;'Your debts'!$F$7),AQ207,0)+IF(AND('Your debts'!$F$14&lt;&gt;"",'Your debts'!$F$7&lt;&gt;"",'Your debts'!$F$14&lt;'Your debts'!$F$7),AV207,0)+IF(AND('Your debts'!$F$15&lt;&gt;"",'Your debts'!$F$7&lt;&gt;"",'Your debts'!$F$15&lt;'Your debts'!$F$7),BA207,0)))))</f>
        <v/>
      </c>
      <c r="O207" s="33">
        <f>M207-N207</f>
        <v/>
      </c>
      <c r="P207" s="33">
        <f>IF(T206&lt;=0,0,ROUND(T206*(1+'Your debts'!$D$8/1200),2))</f>
        <v/>
      </c>
      <c r="Q207" s="33">
        <f>IF(P207&lt;=0,0,MIN('Your debts'!$E$8,P207))</f>
        <v/>
      </c>
      <c r="R207" s="33">
        <f>P207-Q207</f>
        <v/>
      </c>
      <c r="S207" s="33">
        <f>IF('Your debts'!$F$8="",0,MIN(R207,MAX(0,MAX(0,'Your debts'!$C$19-(G207+L207+Q207+V207+AA207+AF207+AK207+AP207+AU207+AZ207))-(IF(AND('Your debts'!$F$6&lt;&gt;"",'Your debts'!$F$8&lt;&gt;"",'Your debts'!$F$6&lt;'Your debts'!$F$8),H207,0)+IF(AND('Your debts'!$F$7&lt;&gt;"",'Your debts'!$F$8&lt;&gt;"",'Your debts'!$F$7&lt;'Your debts'!$F$8),M207,0)+IF(AND('Your debts'!$F$9&lt;&gt;"",'Your debts'!$F$8&lt;&gt;"",'Your debts'!$F$9&lt;'Your debts'!$F$8),W207,0)+IF(AND('Your debts'!$F$10&lt;&gt;"",'Your debts'!$F$8&lt;&gt;"",'Your debts'!$F$10&lt;'Your debts'!$F$8),AB207,0)+IF(AND('Your debts'!$F$11&lt;&gt;"",'Your debts'!$F$8&lt;&gt;"",'Your debts'!$F$11&lt;'Your debts'!$F$8),AG207,0)+IF(AND('Your debts'!$F$12&lt;&gt;"",'Your debts'!$F$8&lt;&gt;"",'Your debts'!$F$12&lt;'Your debts'!$F$8),AL207,0)+IF(AND('Your debts'!$F$13&lt;&gt;"",'Your debts'!$F$8&lt;&gt;"",'Your debts'!$F$13&lt;'Your debts'!$F$8),AQ207,0)+IF(AND('Your debts'!$F$14&lt;&gt;"",'Your debts'!$F$8&lt;&gt;"",'Your debts'!$F$14&lt;'Your debts'!$F$8),AV207,0)+IF(AND('Your debts'!$F$15&lt;&gt;"",'Your debts'!$F$8&lt;&gt;"",'Your debts'!$F$15&lt;'Your debts'!$F$8),BA207,0)))))</f>
        <v/>
      </c>
      <c r="T207" s="33">
        <f>R207-S207</f>
        <v/>
      </c>
      <c r="U207" s="33">
        <f>IF(Y206&lt;=0,0,ROUND(Y206*(1+'Your debts'!$D$9/1200),2))</f>
        <v/>
      </c>
      <c r="V207" s="33">
        <f>IF(U207&lt;=0,0,MIN('Your debts'!$E$9,U207))</f>
        <v/>
      </c>
      <c r="W207" s="33">
        <f>U207-V207</f>
        <v/>
      </c>
      <c r="X207" s="33">
        <f>IF('Your debts'!$F$9="",0,MIN(W207,MAX(0,MAX(0,'Your debts'!$C$19-(G207+L207+Q207+V207+AA207+AF207+AK207+AP207+AU207+AZ207))-(IF(AND('Your debts'!$F$6&lt;&gt;"",'Your debts'!$F$9&lt;&gt;"",'Your debts'!$F$6&lt;'Your debts'!$F$9),H207,0)+IF(AND('Your debts'!$F$7&lt;&gt;"",'Your debts'!$F$9&lt;&gt;"",'Your debts'!$F$7&lt;'Your debts'!$F$9),M207,0)+IF(AND('Your debts'!$F$8&lt;&gt;"",'Your debts'!$F$9&lt;&gt;"",'Your debts'!$F$8&lt;'Your debts'!$F$9),R207,0)+IF(AND('Your debts'!$F$10&lt;&gt;"",'Your debts'!$F$9&lt;&gt;"",'Your debts'!$F$10&lt;'Your debts'!$F$9),AB207,0)+IF(AND('Your debts'!$F$11&lt;&gt;"",'Your debts'!$F$9&lt;&gt;"",'Your debts'!$F$11&lt;'Your debts'!$F$9),AG207,0)+IF(AND('Your debts'!$F$12&lt;&gt;"",'Your debts'!$F$9&lt;&gt;"",'Your debts'!$F$12&lt;'Your debts'!$F$9),AL207,0)+IF(AND('Your debts'!$F$13&lt;&gt;"",'Your debts'!$F$9&lt;&gt;"",'Your debts'!$F$13&lt;'Your debts'!$F$9),AQ207,0)+IF(AND('Your debts'!$F$14&lt;&gt;"",'Your debts'!$F$9&lt;&gt;"",'Your debts'!$F$14&lt;'Your debts'!$F$9),AV207,0)+IF(AND('Your debts'!$F$15&lt;&gt;"",'Your debts'!$F$9&lt;&gt;"",'Your debts'!$F$15&lt;'Your debts'!$F$9),BA207,0)))))</f>
        <v/>
      </c>
      <c r="Y207" s="33">
        <f>W207-X207</f>
        <v/>
      </c>
      <c r="Z207" s="33">
        <f>IF(AD206&lt;=0,0,ROUND(AD206*(1+'Your debts'!$D$10/1200),2))</f>
        <v/>
      </c>
      <c r="AA207" s="33">
        <f>IF(Z207&lt;=0,0,MIN('Your debts'!$E$10,Z207))</f>
        <v/>
      </c>
      <c r="AB207" s="33">
        <f>Z207-AA207</f>
        <v/>
      </c>
      <c r="AC207" s="33">
        <f>IF('Your debts'!$F$10="",0,MIN(AB207,MAX(0,MAX(0,'Your debts'!$C$19-(G207+L207+Q207+V207+AA207+AF207+AK207+AP207+AU207+AZ207))-(IF(AND('Your debts'!$F$6&lt;&gt;"",'Your debts'!$F$10&lt;&gt;"",'Your debts'!$F$6&lt;'Your debts'!$F$10),H207,0)+IF(AND('Your debts'!$F$7&lt;&gt;"",'Your debts'!$F$10&lt;&gt;"",'Your debts'!$F$7&lt;'Your debts'!$F$10),M207,0)+IF(AND('Your debts'!$F$8&lt;&gt;"",'Your debts'!$F$10&lt;&gt;"",'Your debts'!$F$8&lt;'Your debts'!$F$10),R207,0)+IF(AND('Your debts'!$F$9&lt;&gt;"",'Your debts'!$F$10&lt;&gt;"",'Your debts'!$F$9&lt;'Your debts'!$F$10),W207,0)+IF(AND('Your debts'!$F$11&lt;&gt;"",'Your debts'!$F$10&lt;&gt;"",'Your debts'!$F$11&lt;'Your debts'!$F$10),AG207,0)+IF(AND('Your debts'!$F$12&lt;&gt;"",'Your debts'!$F$10&lt;&gt;"",'Your debts'!$F$12&lt;'Your debts'!$F$10),AL207,0)+IF(AND('Your debts'!$F$13&lt;&gt;"",'Your debts'!$F$10&lt;&gt;"",'Your debts'!$F$13&lt;'Your debts'!$F$10),AQ207,0)+IF(AND('Your debts'!$F$14&lt;&gt;"",'Your debts'!$F$10&lt;&gt;"",'Your debts'!$F$14&lt;'Your debts'!$F$10),AV207,0)+IF(AND('Your debts'!$F$15&lt;&gt;"",'Your debts'!$F$10&lt;&gt;"",'Your debts'!$F$15&lt;'Your debts'!$F$10),BA207,0)))))</f>
        <v/>
      </c>
      <c r="AD207" s="33">
        <f>AB207-AC207</f>
        <v/>
      </c>
      <c r="AE207" s="33">
        <f>IF(AI206&lt;=0,0,ROUND(AI206*(1+'Your debts'!$D$11/1200),2))</f>
        <v/>
      </c>
      <c r="AF207" s="33">
        <f>IF(AE207&lt;=0,0,MIN('Your debts'!$E$11,AE207))</f>
        <v/>
      </c>
      <c r="AG207" s="33">
        <f>AE207-AF207</f>
        <v/>
      </c>
      <c r="AH207" s="33">
        <f>IF('Your debts'!$F$11="",0,MIN(AG207,MAX(0,MAX(0,'Your debts'!$C$19-(G207+L207+Q207+V207+AA207+AF207+AK207+AP207+AU207+AZ207))-(IF(AND('Your debts'!$F$6&lt;&gt;"",'Your debts'!$F$11&lt;&gt;"",'Your debts'!$F$6&lt;'Your debts'!$F$11),H207,0)+IF(AND('Your debts'!$F$7&lt;&gt;"",'Your debts'!$F$11&lt;&gt;"",'Your debts'!$F$7&lt;'Your debts'!$F$11),M207,0)+IF(AND('Your debts'!$F$8&lt;&gt;"",'Your debts'!$F$11&lt;&gt;"",'Your debts'!$F$8&lt;'Your debts'!$F$11),R207,0)+IF(AND('Your debts'!$F$9&lt;&gt;"",'Your debts'!$F$11&lt;&gt;"",'Your debts'!$F$9&lt;'Your debts'!$F$11),W207,0)+IF(AND('Your debts'!$F$10&lt;&gt;"",'Your debts'!$F$11&lt;&gt;"",'Your debts'!$F$10&lt;'Your debts'!$F$11),AB207,0)+IF(AND('Your debts'!$F$12&lt;&gt;"",'Your debts'!$F$11&lt;&gt;"",'Your debts'!$F$12&lt;'Your debts'!$F$11),AL207,0)+IF(AND('Your debts'!$F$13&lt;&gt;"",'Your debts'!$F$11&lt;&gt;"",'Your debts'!$F$13&lt;'Your debts'!$F$11),AQ207,0)+IF(AND('Your debts'!$F$14&lt;&gt;"",'Your debts'!$F$11&lt;&gt;"",'Your debts'!$F$14&lt;'Your debts'!$F$11),AV207,0)+IF(AND('Your debts'!$F$15&lt;&gt;"",'Your debts'!$F$11&lt;&gt;"",'Your debts'!$F$15&lt;'Your debts'!$F$11),BA207,0)))))</f>
        <v/>
      </c>
      <c r="AI207" s="33">
        <f>AG207-AH207</f>
        <v/>
      </c>
      <c r="AJ207" s="33">
        <f>IF(AN206&lt;=0,0,ROUND(AN206*(1+'Your debts'!$D$12/1200),2))</f>
        <v/>
      </c>
      <c r="AK207" s="33">
        <f>IF(AJ207&lt;=0,0,MIN('Your debts'!$E$12,AJ207))</f>
        <v/>
      </c>
      <c r="AL207" s="33">
        <f>AJ207-AK207</f>
        <v/>
      </c>
      <c r="AM207" s="33">
        <f>IF('Your debts'!$F$12="",0,MIN(AL207,MAX(0,MAX(0,'Your debts'!$C$19-(G207+L207+Q207+V207+AA207+AF207+AK207+AP207+AU207+AZ207))-(IF(AND('Your debts'!$F$6&lt;&gt;"",'Your debts'!$F$12&lt;&gt;"",'Your debts'!$F$6&lt;'Your debts'!$F$12),H207,0)+IF(AND('Your debts'!$F$7&lt;&gt;"",'Your debts'!$F$12&lt;&gt;"",'Your debts'!$F$7&lt;'Your debts'!$F$12),M207,0)+IF(AND('Your debts'!$F$8&lt;&gt;"",'Your debts'!$F$12&lt;&gt;"",'Your debts'!$F$8&lt;'Your debts'!$F$12),R207,0)+IF(AND('Your debts'!$F$9&lt;&gt;"",'Your debts'!$F$12&lt;&gt;"",'Your debts'!$F$9&lt;'Your debts'!$F$12),W207,0)+IF(AND('Your debts'!$F$10&lt;&gt;"",'Your debts'!$F$12&lt;&gt;"",'Your debts'!$F$10&lt;'Your debts'!$F$12),AB207,0)+IF(AND('Your debts'!$F$11&lt;&gt;"",'Your debts'!$F$12&lt;&gt;"",'Your debts'!$F$11&lt;'Your debts'!$F$12),AG207,0)+IF(AND('Your debts'!$F$13&lt;&gt;"",'Your debts'!$F$12&lt;&gt;"",'Your debts'!$F$13&lt;'Your debts'!$F$12),AQ207,0)+IF(AND('Your debts'!$F$14&lt;&gt;"",'Your debts'!$F$12&lt;&gt;"",'Your debts'!$F$14&lt;'Your debts'!$F$12),AV207,0)+IF(AND('Your debts'!$F$15&lt;&gt;"",'Your debts'!$F$12&lt;&gt;"",'Your debts'!$F$15&lt;'Your debts'!$F$12),BA207,0)))))</f>
        <v/>
      </c>
      <c r="AN207" s="33">
        <f>AL207-AM207</f>
        <v/>
      </c>
      <c r="AO207" s="33">
        <f>IF(AS206&lt;=0,0,ROUND(AS206*(1+'Your debts'!$D$13/1200),2))</f>
        <v/>
      </c>
      <c r="AP207" s="33">
        <f>IF(AO207&lt;=0,0,MIN('Your debts'!$E$13,AO207))</f>
        <v/>
      </c>
      <c r="AQ207" s="33">
        <f>AO207-AP207</f>
        <v/>
      </c>
      <c r="AR207" s="33">
        <f>IF('Your debts'!$F$13="",0,MIN(AQ207,MAX(0,MAX(0,'Your debts'!$C$19-(G207+L207+Q207+V207+AA207+AF207+AK207+AP207+AU207+AZ207))-(IF(AND('Your debts'!$F$6&lt;&gt;"",'Your debts'!$F$13&lt;&gt;"",'Your debts'!$F$6&lt;'Your debts'!$F$13),H207,0)+IF(AND('Your debts'!$F$7&lt;&gt;"",'Your debts'!$F$13&lt;&gt;"",'Your debts'!$F$7&lt;'Your debts'!$F$13),M207,0)+IF(AND('Your debts'!$F$8&lt;&gt;"",'Your debts'!$F$13&lt;&gt;"",'Your debts'!$F$8&lt;'Your debts'!$F$13),R207,0)+IF(AND('Your debts'!$F$9&lt;&gt;"",'Your debts'!$F$13&lt;&gt;"",'Your debts'!$F$9&lt;'Your debts'!$F$13),W207,0)+IF(AND('Your debts'!$F$10&lt;&gt;"",'Your debts'!$F$13&lt;&gt;"",'Your debts'!$F$10&lt;'Your debts'!$F$13),AB207,0)+IF(AND('Your debts'!$F$11&lt;&gt;"",'Your debts'!$F$13&lt;&gt;"",'Your debts'!$F$11&lt;'Your debts'!$F$13),AG207,0)+IF(AND('Your debts'!$F$12&lt;&gt;"",'Your debts'!$F$13&lt;&gt;"",'Your debts'!$F$12&lt;'Your debts'!$F$13),AL207,0)+IF(AND('Your debts'!$F$14&lt;&gt;"",'Your debts'!$F$13&lt;&gt;"",'Your debts'!$F$14&lt;'Your debts'!$F$13),AV207,0)+IF(AND('Your debts'!$F$15&lt;&gt;"",'Your debts'!$F$13&lt;&gt;"",'Your debts'!$F$15&lt;'Your debts'!$F$13),BA207,0)))))</f>
        <v/>
      </c>
      <c r="AS207" s="33">
        <f>AQ207-AR207</f>
        <v/>
      </c>
      <c r="AT207" s="33">
        <f>IF(AX206&lt;=0,0,ROUND(AX206*(1+'Your debts'!$D$14/1200),2))</f>
        <v/>
      </c>
      <c r="AU207" s="33">
        <f>IF(AT207&lt;=0,0,MIN('Your debts'!$E$14,AT207))</f>
        <v/>
      </c>
      <c r="AV207" s="33">
        <f>AT207-AU207</f>
        <v/>
      </c>
      <c r="AW207" s="33">
        <f>IF('Your debts'!$F$14="",0,MIN(AV207,MAX(0,MAX(0,'Your debts'!$C$19-(G207+L207+Q207+V207+AA207+AF207+AK207+AP207+AU207+AZ207))-(IF(AND('Your debts'!$F$6&lt;&gt;"",'Your debts'!$F$14&lt;&gt;"",'Your debts'!$F$6&lt;'Your debts'!$F$14),H207,0)+IF(AND('Your debts'!$F$7&lt;&gt;"",'Your debts'!$F$14&lt;&gt;"",'Your debts'!$F$7&lt;'Your debts'!$F$14),M207,0)+IF(AND('Your debts'!$F$8&lt;&gt;"",'Your debts'!$F$14&lt;&gt;"",'Your debts'!$F$8&lt;'Your debts'!$F$14),R207,0)+IF(AND('Your debts'!$F$9&lt;&gt;"",'Your debts'!$F$14&lt;&gt;"",'Your debts'!$F$9&lt;'Your debts'!$F$14),W207,0)+IF(AND('Your debts'!$F$10&lt;&gt;"",'Your debts'!$F$14&lt;&gt;"",'Your debts'!$F$10&lt;'Your debts'!$F$14),AB207,0)+IF(AND('Your debts'!$F$11&lt;&gt;"",'Your debts'!$F$14&lt;&gt;"",'Your debts'!$F$11&lt;'Your debts'!$F$14),AG207,0)+IF(AND('Your debts'!$F$12&lt;&gt;"",'Your debts'!$F$14&lt;&gt;"",'Your debts'!$F$12&lt;'Your debts'!$F$14),AL207,0)+IF(AND('Your debts'!$F$13&lt;&gt;"",'Your debts'!$F$14&lt;&gt;"",'Your debts'!$F$13&lt;'Your debts'!$F$14),AQ207,0)+IF(AND('Your debts'!$F$15&lt;&gt;"",'Your debts'!$F$14&lt;&gt;"",'Your debts'!$F$15&lt;'Your debts'!$F$14),BA207,0)))))</f>
        <v/>
      </c>
      <c r="AX207" s="33">
        <f>AV207-AW207</f>
        <v/>
      </c>
      <c r="AY207" s="33">
        <f>IF(BC206&lt;=0,0,ROUND(BC206*(1+'Your debts'!$D$15/1200),2))</f>
        <v/>
      </c>
      <c r="AZ207" s="33">
        <f>IF(AY207&lt;=0,0,MIN('Your debts'!$E$15,AY207))</f>
        <v/>
      </c>
      <c r="BA207" s="33">
        <f>AY207-AZ207</f>
        <v/>
      </c>
      <c r="BB207" s="33">
        <f>IF('Your debts'!$F$15="",0,MIN(BA207,MAX(0,MAX(0,'Your debts'!$C$19-(G207+L207+Q207+V207+AA207+AF207+AK207+AP207+AU207+AZ207))-(IF(AND('Your debts'!$F$6&lt;&gt;"",'Your debts'!$F$15&lt;&gt;"",'Your debts'!$F$6&lt;'Your debts'!$F$15),H207,0)+IF(AND('Your debts'!$F$7&lt;&gt;"",'Your debts'!$F$15&lt;&gt;"",'Your debts'!$F$7&lt;'Your debts'!$F$15),M207,0)+IF(AND('Your debts'!$F$8&lt;&gt;"",'Your debts'!$F$15&lt;&gt;"",'Your debts'!$F$8&lt;'Your debts'!$F$15),R207,0)+IF(AND('Your debts'!$F$9&lt;&gt;"",'Your debts'!$F$15&lt;&gt;"",'Your debts'!$F$9&lt;'Your debts'!$F$15),W207,0)+IF(AND('Your debts'!$F$10&lt;&gt;"",'Your debts'!$F$15&lt;&gt;"",'Your debts'!$F$10&lt;'Your debts'!$F$15),AB207,0)+IF(AND('Your debts'!$F$11&lt;&gt;"",'Your debts'!$F$15&lt;&gt;"",'Your debts'!$F$11&lt;'Your debts'!$F$15),AG207,0)+IF(AND('Your debts'!$F$12&lt;&gt;"",'Your debts'!$F$15&lt;&gt;"",'Your debts'!$F$12&lt;'Your debts'!$F$15),AL207,0)+IF(AND('Your debts'!$F$13&lt;&gt;"",'Your debts'!$F$15&lt;&gt;"",'Your debts'!$F$13&lt;'Your debts'!$F$15),AQ207,0)+IF(AND('Your debts'!$F$14&lt;&gt;"",'Your debts'!$F$15&lt;&gt;"",'Your debts'!$F$14&lt;'Your debts'!$F$15),AV207,0)))))</f>
        <v/>
      </c>
      <c r="BC207" s="33">
        <f>BA207-BB207</f>
        <v/>
      </c>
    </row>
    <row r="208">
      <c r="A208" s="30" t="n">
        <v>193</v>
      </c>
      <c r="B208" s="31">
        <f>EDATE($B$15,193)</f>
        <v/>
      </c>
      <c r="C208" s="32">
        <f>IF(J207&lt;=0,0,F208-J207)+IF(O207&lt;=0,0,K208-O207)+IF(T207&lt;=0,0,P208-T207)+IF(Y207&lt;=0,0,U208-Y207)+IF(AD207&lt;=0,0,Z208-AD207)+IF(AI207&lt;=0,0,AE208-AI207)+IF(AN207&lt;=0,0,AJ208-AN207)+IF(AS207&lt;=0,0,AO208-AS207)+IF(AX207&lt;=0,0,AT208-AX207)+IF(BC207&lt;=0,0,AY208-BC207)</f>
        <v/>
      </c>
      <c r="D208" s="32">
        <f>G208+I208+L208+N208+Q208+S208+V208+X208+AA208+AC208+AF208+AH208+AK208+AM208+AP208+AR208+AU208+AW208+AZ208+BB208</f>
        <v/>
      </c>
      <c r="E208" s="32">
        <f>J208+O208+T208+Y208+AD208+AI208+AN208+AS208+AX208+BC208</f>
        <v/>
      </c>
      <c r="F208" s="33">
        <f>IF(J207&lt;=0,0,ROUND(J207*(1+'Your debts'!$D$6/1200),2))</f>
        <v/>
      </c>
      <c r="G208" s="33">
        <f>IF(F208&lt;=0,0,MIN('Your debts'!$E$6,F208))</f>
        <v/>
      </c>
      <c r="H208" s="33">
        <f>F208-G208</f>
        <v/>
      </c>
      <c r="I208" s="33">
        <f>IF('Your debts'!$F$6="",0,MIN(H208,MAX(0,MAX(0,'Your debts'!$C$19-(G208+L208+Q208+V208+AA208+AF208+AK208+AP208+AU208+AZ208))-(IF(AND('Your debts'!$F$7&lt;&gt;"",'Your debts'!$F$6&lt;&gt;"",'Your debts'!$F$7&lt;'Your debts'!$F$6),M208,0)+IF(AND('Your debts'!$F$8&lt;&gt;"",'Your debts'!$F$6&lt;&gt;"",'Your debts'!$F$8&lt;'Your debts'!$F$6),R208,0)+IF(AND('Your debts'!$F$9&lt;&gt;"",'Your debts'!$F$6&lt;&gt;"",'Your debts'!$F$9&lt;'Your debts'!$F$6),W208,0)+IF(AND('Your debts'!$F$10&lt;&gt;"",'Your debts'!$F$6&lt;&gt;"",'Your debts'!$F$10&lt;'Your debts'!$F$6),AB208,0)+IF(AND('Your debts'!$F$11&lt;&gt;"",'Your debts'!$F$6&lt;&gt;"",'Your debts'!$F$11&lt;'Your debts'!$F$6),AG208,0)+IF(AND('Your debts'!$F$12&lt;&gt;"",'Your debts'!$F$6&lt;&gt;"",'Your debts'!$F$12&lt;'Your debts'!$F$6),AL208,0)+IF(AND('Your debts'!$F$13&lt;&gt;"",'Your debts'!$F$6&lt;&gt;"",'Your debts'!$F$13&lt;'Your debts'!$F$6),AQ208,0)+IF(AND('Your debts'!$F$14&lt;&gt;"",'Your debts'!$F$6&lt;&gt;"",'Your debts'!$F$14&lt;'Your debts'!$F$6),AV208,0)+IF(AND('Your debts'!$F$15&lt;&gt;"",'Your debts'!$F$6&lt;&gt;"",'Your debts'!$F$15&lt;'Your debts'!$F$6),BA208,0)))))</f>
        <v/>
      </c>
      <c r="J208" s="33">
        <f>H208-I208</f>
        <v/>
      </c>
      <c r="K208" s="33">
        <f>IF(O207&lt;=0,0,ROUND(O207*(1+'Your debts'!$D$7/1200),2))</f>
        <v/>
      </c>
      <c r="L208" s="33">
        <f>IF(K208&lt;=0,0,MIN('Your debts'!$E$7,K208))</f>
        <v/>
      </c>
      <c r="M208" s="33">
        <f>K208-L208</f>
        <v/>
      </c>
      <c r="N208" s="33">
        <f>IF('Your debts'!$F$7="",0,MIN(M208,MAX(0,MAX(0,'Your debts'!$C$19-(G208+L208+Q208+V208+AA208+AF208+AK208+AP208+AU208+AZ208))-(IF(AND('Your debts'!$F$6&lt;&gt;"",'Your debts'!$F$7&lt;&gt;"",'Your debts'!$F$6&lt;'Your debts'!$F$7),H208,0)+IF(AND('Your debts'!$F$8&lt;&gt;"",'Your debts'!$F$7&lt;&gt;"",'Your debts'!$F$8&lt;'Your debts'!$F$7),R208,0)+IF(AND('Your debts'!$F$9&lt;&gt;"",'Your debts'!$F$7&lt;&gt;"",'Your debts'!$F$9&lt;'Your debts'!$F$7),W208,0)+IF(AND('Your debts'!$F$10&lt;&gt;"",'Your debts'!$F$7&lt;&gt;"",'Your debts'!$F$10&lt;'Your debts'!$F$7),AB208,0)+IF(AND('Your debts'!$F$11&lt;&gt;"",'Your debts'!$F$7&lt;&gt;"",'Your debts'!$F$11&lt;'Your debts'!$F$7),AG208,0)+IF(AND('Your debts'!$F$12&lt;&gt;"",'Your debts'!$F$7&lt;&gt;"",'Your debts'!$F$12&lt;'Your debts'!$F$7),AL208,0)+IF(AND('Your debts'!$F$13&lt;&gt;"",'Your debts'!$F$7&lt;&gt;"",'Your debts'!$F$13&lt;'Your debts'!$F$7),AQ208,0)+IF(AND('Your debts'!$F$14&lt;&gt;"",'Your debts'!$F$7&lt;&gt;"",'Your debts'!$F$14&lt;'Your debts'!$F$7),AV208,0)+IF(AND('Your debts'!$F$15&lt;&gt;"",'Your debts'!$F$7&lt;&gt;"",'Your debts'!$F$15&lt;'Your debts'!$F$7),BA208,0)))))</f>
        <v/>
      </c>
      <c r="O208" s="33">
        <f>M208-N208</f>
        <v/>
      </c>
      <c r="P208" s="33">
        <f>IF(T207&lt;=0,0,ROUND(T207*(1+'Your debts'!$D$8/1200),2))</f>
        <v/>
      </c>
      <c r="Q208" s="33">
        <f>IF(P208&lt;=0,0,MIN('Your debts'!$E$8,P208))</f>
        <v/>
      </c>
      <c r="R208" s="33">
        <f>P208-Q208</f>
        <v/>
      </c>
      <c r="S208" s="33">
        <f>IF('Your debts'!$F$8="",0,MIN(R208,MAX(0,MAX(0,'Your debts'!$C$19-(G208+L208+Q208+V208+AA208+AF208+AK208+AP208+AU208+AZ208))-(IF(AND('Your debts'!$F$6&lt;&gt;"",'Your debts'!$F$8&lt;&gt;"",'Your debts'!$F$6&lt;'Your debts'!$F$8),H208,0)+IF(AND('Your debts'!$F$7&lt;&gt;"",'Your debts'!$F$8&lt;&gt;"",'Your debts'!$F$7&lt;'Your debts'!$F$8),M208,0)+IF(AND('Your debts'!$F$9&lt;&gt;"",'Your debts'!$F$8&lt;&gt;"",'Your debts'!$F$9&lt;'Your debts'!$F$8),W208,0)+IF(AND('Your debts'!$F$10&lt;&gt;"",'Your debts'!$F$8&lt;&gt;"",'Your debts'!$F$10&lt;'Your debts'!$F$8),AB208,0)+IF(AND('Your debts'!$F$11&lt;&gt;"",'Your debts'!$F$8&lt;&gt;"",'Your debts'!$F$11&lt;'Your debts'!$F$8),AG208,0)+IF(AND('Your debts'!$F$12&lt;&gt;"",'Your debts'!$F$8&lt;&gt;"",'Your debts'!$F$12&lt;'Your debts'!$F$8),AL208,0)+IF(AND('Your debts'!$F$13&lt;&gt;"",'Your debts'!$F$8&lt;&gt;"",'Your debts'!$F$13&lt;'Your debts'!$F$8),AQ208,0)+IF(AND('Your debts'!$F$14&lt;&gt;"",'Your debts'!$F$8&lt;&gt;"",'Your debts'!$F$14&lt;'Your debts'!$F$8),AV208,0)+IF(AND('Your debts'!$F$15&lt;&gt;"",'Your debts'!$F$8&lt;&gt;"",'Your debts'!$F$15&lt;'Your debts'!$F$8),BA208,0)))))</f>
        <v/>
      </c>
      <c r="T208" s="33">
        <f>R208-S208</f>
        <v/>
      </c>
      <c r="U208" s="33">
        <f>IF(Y207&lt;=0,0,ROUND(Y207*(1+'Your debts'!$D$9/1200),2))</f>
        <v/>
      </c>
      <c r="V208" s="33">
        <f>IF(U208&lt;=0,0,MIN('Your debts'!$E$9,U208))</f>
        <v/>
      </c>
      <c r="W208" s="33">
        <f>U208-V208</f>
        <v/>
      </c>
      <c r="X208" s="33">
        <f>IF('Your debts'!$F$9="",0,MIN(W208,MAX(0,MAX(0,'Your debts'!$C$19-(G208+L208+Q208+V208+AA208+AF208+AK208+AP208+AU208+AZ208))-(IF(AND('Your debts'!$F$6&lt;&gt;"",'Your debts'!$F$9&lt;&gt;"",'Your debts'!$F$6&lt;'Your debts'!$F$9),H208,0)+IF(AND('Your debts'!$F$7&lt;&gt;"",'Your debts'!$F$9&lt;&gt;"",'Your debts'!$F$7&lt;'Your debts'!$F$9),M208,0)+IF(AND('Your debts'!$F$8&lt;&gt;"",'Your debts'!$F$9&lt;&gt;"",'Your debts'!$F$8&lt;'Your debts'!$F$9),R208,0)+IF(AND('Your debts'!$F$10&lt;&gt;"",'Your debts'!$F$9&lt;&gt;"",'Your debts'!$F$10&lt;'Your debts'!$F$9),AB208,0)+IF(AND('Your debts'!$F$11&lt;&gt;"",'Your debts'!$F$9&lt;&gt;"",'Your debts'!$F$11&lt;'Your debts'!$F$9),AG208,0)+IF(AND('Your debts'!$F$12&lt;&gt;"",'Your debts'!$F$9&lt;&gt;"",'Your debts'!$F$12&lt;'Your debts'!$F$9),AL208,0)+IF(AND('Your debts'!$F$13&lt;&gt;"",'Your debts'!$F$9&lt;&gt;"",'Your debts'!$F$13&lt;'Your debts'!$F$9),AQ208,0)+IF(AND('Your debts'!$F$14&lt;&gt;"",'Your debts'!$F$9&lt;&gt;"",'Your debts'!$F$14&lt;'Your debts'!$F$9),AV208,0)+IF(AND('Your debts'!$F$15&lt;&gt;"",'Your debts'!$F$9&lt;&gt;"",'Your debts'!$F$15&lt;'Your debts'!$F$9),BA208,0)))))</f>
        <v/>
      </c>
      <c r="Y208" s="33">
        <f>W208-X208</f>
        <v/>
      </c>
      <c r="Z208" s="33">
        <f>IF(AD207&lt;=0,0,ROUND(AD207*(1+'Your debts'!$D$10/1200),2))</f>
        <v/>
      </c>
      <c r="AA208" s="33">
        <f>IF(Z208&lt;=0,0,MIN('Your debts'!$E$10,Z208))</f>
        <v/>
      </c>
      <c r="AB208" s="33">
        <f>Z208-AA208</f>
        <v/>
      </c>
      <c r="AC208" s="33">
        <f>IF('Your debts'!$F$10="",0,MIN(AB208,MAX(0,MAX(0,'Your debts'!$C$19-(G208+L208+Q208+V208+AA208+AF208+AK208+AP208+AU208+AZ208))-(IF(AND('Your debts'!$F$6&lt;&gt;"",'Your debts'!$F$10&lt;&gt;"",'Your debts'!$F$6&lt;'Your debts'!$F$10),H208,0)+IF(AND('Your debts'!$F$7&lt;&gt;"",'Your debts'!$F$10&lt;&gt;"",'Your debts'!$F$7&lt;'Your debts'!$F$10),M208,0)+IF(AND('Your debts'!$F$8&lt;&gt;"",'Your debts'!$F$10&lt;&gt;"",'Your debts'!$F$8&lt;'Your debts'!$F$10),R208,0)+IF(AND('Your debts'!$F$9&lt;&gt;"",'Your debts'!$F$10&lt;&gt;"",'Your debts'!$F$9&lt;'Your debts'!$F$10),W208,0)+IF(AND('Your debts'!$F$11&lt;&gt;"",'Your debts'!$F$10&lt;&gt;"",'Your debts'!$F$11&lt;'Your debts'!$F$10),AG208,0)+IF(AND('Your debts'!$F$12&lt;&gt;"",'Your debts'!$F$10&lt;&gt;"",'Your debts'!$F$12&lt;'Your debts'!$F$10),AL208,0)+IF(AND('Your debts'!$F$13&lt;&gt;"",'Your debts'!$F$10&lt;&gt;"",'Your debts'!$F$13&lt;'Your debts'!$F$10),AQ208,0)+IF(AND('Your debts'!$F$14&lt;&gt;"",'Your debts'!$F$10&lt;&gt;"",'Your debts'!$F$14&lt;'Your debts'!$F$10),AV208,0)+IF(AND('Your debts'!$F$15&lt;&gt;"",'Your debts'!$F$10&lt;&gt;"",'Your debts'!$F$15&lt;'Your debts'!$F$10),BA208,0)))))</f>
        <v/>
      </c>
      <c r="AD208" s="33">
        <f>AB208-AC208</f>
        <v/>
      </c>
      <c r="AE208" s="33">
        <f>IF(AI207&lt;=0,0,ROUND(AI207*(1+'Your debts'!$D$11/1200),2))</f>
        <v/>
      </c>
      <c r="AF208" s="33">
        <f>IF(AE208&lt;=0,0,MIN('Your debts'!$E$11,AE208))</f>
        <v/>
      </c>
      <c r="AG208" s="33">
        <f>AE208-AF208</f>
        <v/>
      </c>
      <c r="AH208" s="33">
        <f>IF('Your debts'!$F$11="",0,MIN(AG208,MAX(0,MAX(0,'Your debts'!$C$19-(G208+L208+Q208+V208+AA208+AF208+AK208+AP208+AU208+AZ208))-(IF(AND('Your debts'!$F$6&lt;&gt;"",'Your debts'!$F$11&lt;&gt;"",'Your debts'!$F$6&lt;'Your debts'!$F$11),H208,0)+IF(AND('Your debts'!$F$7&lt;&gt;"",'Your debts'!$F$11&lt;&gt;"",'Your debts'!$F$7&lt;'Your debts'!$F$11),M208,0)+IF(AND('Your debts'!$F$8&lt;&gt;"",'Your debts'!$F$11&lt;&gt;"",'Your debts'!$F$8&lt;'Your debts'!$F$11),R208,0)+IF(AND('Your debts'!$F$9&lt;&gt;"",'Your debts'!$F$11&lt;&gt;"",'Your debts'!$F$9&lt;'Your debts'!$F$11),W208,0)+IF(AND('Your debts'!$F$10&lt;&gt;"",'Your debts'!$F$11&lt;&gt;"",'Your debts'!$F$10&lt;'Your debts'!$F$11),AB208,0)+IF(AND('Your debts'!$F$12&lt;&gt;"",'Your debts'!$F$11&lt;&gt;"",'Your debts'!$F$12&lt;'Your debts'!$F$11),AL208,0)+IF(AND('Your debts'!$F$13&lt;&gt;"",'Your debts'!$F$11&lt;&gt;"",'Your debts'!$F$13&lt;'Your debts'!$F$11),AQ208,0)+IF(AND('Your debts'!$F$14&lt;&gt;"",'Your debts'!$F$11&lt;&gt;"",'Your debts'!$F$14&lt;'Your debts'!$F$11),AV208,0)+IF(AND('Your debts'!$F$15&lt;&gt;"",'Your debts'!$F$11&lt;&gt;"",'Your debts'!$F$15&lt;'Your debts'!$F$11),BA208,0)))))</f>
        <v/>
      </c>
      <c r="AI208" s="33">
        <f>AG208-AH208</f>
        <v/>
      </c>
      <c r="AJ208" s="33">
        <f>IF(AN207&lt;=0,0,ROUND(AN207*(1+'Your debts'!$D$12/1200),2))</f>
        <v/>
      </c>
      <c r="AK208" s="33">
        <f>IF(AJ208&lt;=0,0,MIN('Your debts'!$E$12,AJ208))</f>
        <v/>
      </c>
      <c r="AL208" s="33">
        <f>AJ208-AK208</f>
        <v/>
      </c>
      <c r="AM208" s="33">
        <f>IF('Your debts'!$F$12="",0,MIN(AL208,MAX(0,MAX(0,'Your debts'!$C$19-(G208+L208+Q208+V208+AA208+AF208+AK208+AP208+AU208+AZ208))-(IF(AND('Your debts'!$F$6&lt;&gt;"",'Your debts'!$F$12&lt;&gt;"",'Your debts'!$F$6&lt;'Your debts'!$F$12),H208,0)+IF(AND('Your debts'!$F$7&lt;&gt;"",'Your debts'!$F$12&lt;&gt;"",'Your debts'!$F$7&lt;'Your debts'!$F$12),M208,0)+IF(AND('Your debts'!$F$8&lt;&gt;"",'Your debts'!$F$12&lt;&gt;"",'Your debts'!$F$8&lt;'Your debts'!$F$12),R208,0)+IF(AND('Your debts'!$F$9&lt;&gt;"",'Your debts'!$F$12&lt;&gt;"",'Your debts'!$F$9&lt;'Your debts'!$F$12),W208,0)+IF(AND('Your debts'!$F$10&lt;&gt;"",'Your debts'!$F$12&lt;&gt;"",'Your debts'!$F$10&lt;'Your debts'!$F$12),AB208,0)+IF(AND('Your debts'!$F$11&lt;&gt;"",'Your debts'!$F$12&lt;&gt;"",'Your debts'!$F$11&lt;'Your debts'!$F$12),AG208,0)+IF(AND('Your debts'!$F$13&lt;&gt;"",'Your debts'!$F$12&lt;&gt;"",'Your debts'!$F$13&lt;'Your debts'!$F$12),AQ208,0)+IF(AND('Your debts'!$F$14&lt;&gt;"",'Your debts'!$F$12&lt;&gt;"",'Your debts'!$F$14&lt;'Your debts'!$F$12),AV208,0)+IF(AND('Your debts'!$F$15&lt;&gt;"",'Your debts'!$F$12&lt;&gt;"",'Your debts'!$F$15&lt;'Your debts'!$F$12),BA208,0)))))</f>
        <v/>
      </c>
      <c r="AN208" s="33">
        <f>AL208-AM208</f>
        <v/>
      </c>
      <c r="AO208" s="33">
        <f>IF(AS207&lt;=0,0,ROUND(AS207*(1+'Your debts'!$D$13/1200),2))</f>
        <v/>
      </c>
      <c r="AP208" s="33">
        <f>IF(AO208&lt;=0,0,MIN('Your debts'!$E$13,AO208))</f>
        <v/>
      </c>
      <c r="AQ208" s="33">
        <f>AO208-AP208</f>
        <v/>
      </c>
      <c r="AR208" s="33">
        <f>IF('Your debts'!$F$13="",0,MIN(AQ208,MAX(0,MAX(0,'Your debts'!$C$19-(G208+L208+Q208+V208+AA208+AF208+AK208+AP208+AU208+AZ208))-(IF(AND('Your debts'!$F$6&lt;&gt;"",'Your debts'!$F$13&lt;&gt;"",'Your debts'!$F$6&lt;'Your debts'!$F$13),H208,0)+IF(AND('Your debts'!$F$7&lt;&gt;"",'Your debts'!$F$13&lt;&gt;"",'Your debts'!$F$7&lt;'Your debts'!$F$13),M208,0)+IF(AND('Your debts'!$F$8&lt;&gt;"",'Your debts'!$F$13&lt;&gt;"",'Your debts'!$F$8&lt;'Your debts'!$F$13),R208,0)+IF(AND('Your debts'!$F$9&lt;&gt;"",'Your debts'!$F$13&lt;&gt;"",'Your debts'!$F$9&lt;'Your debts'!$F$13),W208,0)+IF(AND('Your debts'!$F$10&lt;&gt;"",'Your debts'!$F$13&lt;&gt;"",'Your debts'!$F$10&lt;'Your debts'!$F$13),AB208,0)+IF(AND('Your debts'!$F$11&lt;&gt;"",'Your debts'!$F$13&lt;&gt;"",'Your debts'!$F$11&lt;'Your debts'!$F$13),AG208,0)+IF(AND('Your debts'!$F$12&lt;&gt;"",'Your debts'!$F$13&lt;&gt;"",'Your debts'!$F$12&lt;'Your debts'!$F$13),AL208,0)+IF(AND('Your debts'!$F$14&lt;&gt;"",'Your debts'!$F$13&lt;&gt;"",'Your debts'!$F$14&lt;'Your debts'!$F$13),AV208,0)+IF(AND('Your debts'!$F$15&lt;&gt;"",'Your debts'!$F$13&lt;&gt;"",'Your debts'!$F$15&lt;'Your debts'!$F$13),BA208,0)))))</f>
        <v/>
      </c>
      <c r="AS208" s="33">
        <f>AQ208-AR208</f>
        <v/>
      </c>
      <c r="AT208" s="33">
        <f>IF(AX207&lt;=0,0,ROUND(AX207*(1+'Your debts'!$D$14/1200),2))</f>
        <v/>
      </c>
      <c r="AU208" s="33">
        <f>IF(AT208&lt;=0,0,MIN('Your debts'!$E$14,AT208))</f>
        <v/>
      </c>
      <c r="AV208" s="33">
        <f>AT208-AU208</f>
        <v/>
      </c>
      <c r="AW208" s="33">
        <f>IF('Your debts'!$F$14="",0,MIN(AV208,MAX(0,MAX(0,'Your debts'!$C$19-(G208+L208+Q208+V208+AA208+AF208+AK208+AP208+AU208+AZ208))-(IF(AND('Your debts'!$F$6&lt;&gt;"",'Your debts'!$F$14&lt;&gt;"",'Your debts'!$F$6&lt;'Your debts'!$F$14),H208,0)+IF(AND('Your debts'!$F$7&lt;&gt;"",'Your debts'!$F$14&lt;&gt;"",'Your debts'!$F$7&lt;'Your debts'!$F$14),M208,0)+IF(AND('Your debts'!$F$8&lt;&gt;"",'Your debts'!$F$14&lt;&gt;"",'Your debts'!$F$8&lt;'Your debts'!$F$14),R208,0)+IF(AND('Your debts'!$F$9&lt;&gt;"",'Your debts'!$F$14&lt;&gt;"",'Your debts'!$F$9&lt;'Your debts'!$F$14),W208,0)+IF(AND('Your debts'!$F$10&lt;&gt;"",'Your debts'!$F$14&lt;&gt;"",'Your debts'!$F$10&lt;'Your debts'!$F$14),AB208,0)+IF(AND('Your debts'!$F$11&lt;&gt;"",'Your debts'!$F$14&lt;&gt;"",'Your debts'!$F$11&lt;'Your debts'!$F$14),AG208,0)+IF(AND('Your debts'!$F$12&lt;&gt;"",'Your debts'!$F$14&lt;&gt;"",'Your debts'!$F$12&lt;'Your debts'!$F$14),AL208,0)+IF(AND('Your debts'!$F$13&lt;&gt;"",'Your debts'!$F$14&lt;&gt;"",'Your debts'!$F$13&lt;'Your debts'!$F$14),AQ208,0)+IF(AND('Your debts'!$F$15&lt;&gt;"",'Your debts'!$F$14&lt;&gt;"",'Your debts'!$F$15&lt;'Your debts'!$F$14),BA208,0)))))</f>
        <v/>
      </c>
      <c r="AX208" s="33">
        <f>AV208-AW208</f>
        <v/>
      </c>
      <c r="AY208" s="33">
        <f>IF(BC207&lt;=0,0,ROUND(BC207*(1+'Your debts'!$D$15/1200),2))</f>
        <v/>
      </c>
      <c r="AZ208" s="33">
        <f>IF(AY208&lt;=0,0,MIN('Your debts'!$E$15,AY208))</f>
        <v/>
      </c>
      <c r="BA208" s="33">
        <f>AY208-AZ208</f>
        <v/>
      </c>
      <c r="BB208" s="33">
        <f>IF('Your debts'!$F$15="",0,MIN(BA208,MAX(0,MAX(0,'Your debts'!$C$19-(G208+L208+Q208+V208+AA208+AF208+AK208+AP208+AU208+AZ208))-(IF(AND('Your debts'!$F$6&lt;&gt;"",'Your debts'!$F$15&lt;&gt;"",'Your debts'!$F$6&lt;'Your debts'!$F$15),H208,0)+IF(AND('Your debts'!$F$7&lt;&gt;"",'Your debts'!$F$15&lt;&gt;"",'Your debts'!$F$7&lt;'Your debts'!$F$15),M208,0)+IF(AND('Your debts'!$F$8&lt;&gt;"",'Your debts'!$F$15&lt;&gt;"",'Your debts'!$F$8&lt;'Your debts'!$F$15),R208,0)+IF(AND('Your debts'!$F$9&lt;&gt;"",'Your debts'!$F$15&lt;&gt;"",'Your debts'!$F$9&lt;'Your debts'!$F$15),W208,0)+IF(AND('Your debts'!$F$10&lt;&gt;"",'Your debts'!$F$15&lt;&gt;"",'Your debts'!$F$10&lt;'Your debts'!$F$15),AB208,0)+IF(AND('Your debts'!$F$11&lt;&gt;"",'Your debts'!$F$15&lt;&gt;"",'Your debts'!$F$11&lt;'Your debts'!$F$15),AG208,0)+IF(AND('Your debts'!$F$12&lt;&gt;"",'Your debts'!$F$15&lt;&gt;"",'Your debts'!$F$12&lt;'Your debts'!$F$15),AL208,0)+IF(AND('Your debts'!$F$13&lt;&gt;"",'Your debts'!$F$15&lt;&gt;"",'Your debts'!$F$13&lt;'Your debts'!$F$15),AQ208,0)+IF(AND('Your debts'!$F$14&lt;&gt;"",'Your debts'!$F$15&lt;&gt;"",'Your debts'!$F$14&lt;'Your debts'!$F$15),AV208,0)))))</f>
        <v/>
      </c>
      <c r="BC208" s="33">
        <f>BA208-BB208</f>
        <v/>
      </c>
    </row>
    <row r="209">
      <c r="A209" s="30" t="n">
        <v>194</v>
      </c>
      <c r="B209" s="31">
        <f>EDATE($B$15,194)</f>
        <v/>
      </c>
      <c r="C209" s="32">
        <f>IF(J208&lt;=0,0,F209-J208)+IF(O208&lt;=0,0,K209-O208)+IF(T208&lt;=0,0,P209-T208)+IF(Y208&lt;=0,0,U209-Y208)+IF(AD208&lt;=0,0,Z209-AD208)+IF(AI208&lt;=0,0,AE209-AI208)+IF(AN208&lt;=0,0,AJ209-AN208)+IF(AS208&lt;=0,0,AO209-AS208)+IF(AX208&lt;=0,0,AT209-AX208)+IF(BC208&lt;=0,0,AY209-BC208)</f>
        <v/>
      </c>
      <c r="D209" s="32">
        <f>G209+I209+L209+N209+Q209+S209+V209+X209+AA209+AC209+AF209+AH209+AK209+AM209+AP209+AR209+AU209+AW209+AZ209+BB209</f>
        <v/>
      </c>
      <c r="E209" s="32">
        <f>J209+O209+T209+Y209+AD209+AI209+AN209+AS209+AX209+BC209</f>
        <v/>
      </c>
      <c r="F209" s="33">
        <f>IF(J208&lt;=0,0,ROUND(J208*(1+'Your debts'!$D$6/1200),2))</f>
        <v/>
      </c>
      <c r="G209" s="33">
        <f>IF(F209&lt;=0,0,MIN('Your debts'!$E$6,F209))</f>
        <v/>
      </c>
      <c r="H209" s="33">
        <f>F209-G209</f>
        <v/>
      </c>
      <c r="I209" s="33">
        <f>IF('Your debts'!$F$6="",0,MIN(H209,MAX(0,MAX(0,'Your debts'!$C$19-(G209+L209+Q209+V209+AA209+AF209+AK209+AP209+AU209+AZ209))-(IF(AND('Your debts'!$F$7&lt;&gt;"",'Your debts'!$F$6&lt;&gt;"",'Your debts'!$F$7&lt;'Your debts'!$F$6),M209,0)+IF(AND('Your debts'!$F$8&lt;&gt;"",'Your debts'!$F$6&lt;&gt;"",'Your debts'!$F$8&lt;'Your debts'!$F$6),R209,0)+IF(AND('Your debts'!$F$9&lt;&gt;"",'Your debts'!$F$6&lt;&gt;"",'Your debts'!$F$9&lt;'Your debts'!$F$6),W209,0)+IF(AND('Your debts'!$F$10&lt;&gt;"",'Your debts'!$F$6&lt;&gt;"",'Your debts'!$F$10&lt;'Your debts'!$F$6),AB209,0)+IF(AND('Your debts'!$F$11&lt;&gt;"",'Your debts'!$F$6&lt;&gt;"",'Your debts'!$F$11&lt;'Your debts'!$F$6),AG209,0)+IF(AND('Your debts'!$F$12&lt;&gt;"",'Your debts'!$F$6&lt;&gt;"",'Your debts'!$F$12&lt;'Your debts'!$F$6),AL209,0)+IF(AND('Your debts'!$F$13&lt;&gt;"",'Your debts'!$F$6&lt;&gt;"",'Your debts'!$F$13&lt;'Your debts'!$F$6),AQ209,0)+IF(AND('Your debts'!$F$14&lt;&gt;"",'Your debts'!$F$6&lt;&gt;"",'Your debts'!$F$14&lt;'Your debts'!$F$6),AV209,0)+IF(AND('Your debts'!$F$15&lt;&gt;"",'Your debts'!$F$6&lt;&gt;"",'Your debts'!$F$15&lt;'Your debts'!$F$6),BA209,0)))))</f>
        <v/>
      </c>
      <c r="J209" s="33">
        <f>H209-I209</f>
        <v/>
      </c>
      <c r="K209" s="33">
        <f>IF(O208&lt;=0,0,ROUND(O208*(1+'Your debts'!$D$7/1200),2))</f>
        <v/>
      </c>
      <c r="L209" s="33">
        <f>IF(K209&lt;=0,0,MIN('Your debts'!$E$7,K209))</f>
        <v/>
      </c>
      <c r="M209" s="33">
        <f>K209-L209</f>
        <v/>
      </c>
      <c r="N209" s="33">
        <f>IF('Your debts'!$F$7="",0,MIN(M209,MAX(0,MAX(0,'Your debts'!$C$19-(G209+L209+Q209+V209+AA209+AF209+AK209+AP209+AU209+AZ209))-(IF(AND('Your debts'!$F$6&lt;&gt;"",'Your debts'!$F$7&lt;&gt;"",'Your debts'!$F$6&lt;'Your debts'!$F$7),H209,0)+IF(AND('Your debts'!$F$8&lt;&gt;"",'Your debts'!$F$7&lt;&gt;"",'Your debts'!$F$8&lt;'Your debts'!$F$7),R209,0)+IF(AND('Your debts'!$F$9&lt;&gt;"",'Your debts'!$F$7&lt;&gt;"",'Your debts'!$F$9&lt;'Your debts'!$F$7),W209,0)+IF(AND('Your debts'!$F$10&lt;&gt;"",'Your debts'!$F$7&lt;&gt;"",'Your debts'!$F$10&lt;'Your debts'!$F$7),AB209,0)+IF(AND('Your debts'!$F$11&lt;&gt;"",'Your debts'!$F$7&lt;&gt;"",'Your debts'!$F$11&lt;'Your debts'!$F$7),AG209,0)+IF(AND('Your debts'!$F$12&lt;&gt;"",'Your debts'!$F$7&lt;&gt;"",'Your debts'!$F$12&lt;'Your debts'!$F$7),AL209,0)+IF(AND('Your debts'!$F$13&lt;&gt;"",'Your debts'!$F$7&lt;&gt;"",'Your debts'!$F$13&lt;'Your debts'!$F$7),AQ209,0)+IF(AND('Your debts'!$F$14&lt;&gt;"",'Your debts'!$F$7&lt;&gt;"",'Your debts'!$F$14&lt;'Your debts'!$F$7),AV209,0)+IF(AND('Your debts'!$F$15&lt;&gt;"",'Your debts'!$F$7&lt;&gt;"",'Your debts'!$F$15&lt;'Your debts'!$F$7),BA209,0)))))</f>
        <v/>
      </c>
      <c r="O209" s="33">
        <f>M209-N209</f>
        <v/>
      </c>
      <c r="P209" s="33">
        <f>IF(T208&lt;=0,0,ROUND(T208*(1+'Your debts'!$D$8/1200),2))</f>
        <v/>
      </c>
      <c r="Q209" s="33">
        <f>IF(P209&lt;=0,0,MIN('Your debts'!$E$8,P209))</f>
        <v/>
      </c>
      <c r="R209" s="33">
        <f>P209-Q209</f>
        <v/>
      </c>
      <c r="S209" s="33">
        <f>IF('Your debts'!$F$8="",0,MIN(R209,MAX(0,MAX(0,'Your debts'!$C$19-(G209+L209+Q209+V209+AA209+AF209+AK209+AP209+AU209+AZ209))-(IF(AND('Your debts'!$F$6&lt;&gt;"",'Your debts'!$F$8&lt;&gt;"",'Your debts'!$F$6&lt;'Your debts'!$F$8),H209,0)+IF(AND('Your debts'!$F$7&lt;&gt;"",'Your debts'!$F$8&lt;&gt;"",'Your debts'!$F$7&lt;'Your debts'!$F$8),M209,0)+IF(AND('Your debts'!$F$9&lt;&gt;"",'Your debts'!$F$8&lt;&gt;"",'Your debts'!$F$9&lt;'Your debts'!$F$8),W209,0)+IF(AND('Your debts'!$F$10&lt;&gt;"",'Your debts'!$F$8&lt;&gt;"",'Your debts'!$F$10&lt;'Your debts'!$F$8),AB209,0)+IF(AND('Your debts'!$F$11&lt;&gt;"",'Your debts'!$F$8&lt;&gt;"",'Your debts'!$F$11&lt;'Your debts'!$F$8),AG209,0)+IF(AND('Your debts'!$F$12&lt;&gt;"",'Your debts'!$F$8&lt;&gt;"",'Your debts'!$F$12&lt;'Your debts'!$F$8),AL209,0)+IF(AND('Your debts'!$F$13&lt;&gt;"",'Your debts'!$F$8&lt;&gt;"",'Your debts'!$F$13&lt;'Your debts'!$F$8),AQ209,0)+IF(AND('Your debts'!$F$14&lt;&gt;"",'Your debts'!$F$8&lt;&gt;"",'Your debts'!$F$14&lt;'Your debts'!$F$8),AV209,0)+IF(AND('Your debts'!$F$15&lt;&gt;"",'Your debts'!$F$8&lt;&gt;"",'Your debts'!$F$15&lt;'Your debts'!$F$8),BA209,0)))))</f>
        <v/>
      </c>
      <c r="T209" s="33">
        <f>R209-S209</f>
        <v/>
      </c>
      <c r="U209" s="33">
        <f>IF(Y208&lt;=0,0,ROUND(Y208*(1+'Your debts'!$D$9/1200),2))</f>
        <v/>
      </c>
      <c r="V209" s="33">
        <f>IF(U209&lt;=0,0,MIN('Your debts'!$E$9,U209))</f>
        <v/>
      </c>
      <c r="W209" s="33">
        <f>U209-V209</f>
        <v/>
      </c>
      <c r="X209" s="33">
        <f>IF('Your debts'!$F$9="",0,MIN(W209,MAX(0,MAX(0,'Your debts'!$C$19-(G209+L209+Q209+V209+AA209+AF209+AK209+AP209+AU209+AZ209))-(IF(AND('Your debts'!$F$6&lt;&gt;"",'Your debts'!$F$9&lt;&gt;"",'Your debts'!$F$6&lt;'Your debts'!$F$9),H209,0)+IF(AND('Your debts'!$F$7&lt;&gt;"",'Your debts'!$F$9&lt;&gt;"",'Your debts'!$F$7&lt;'Your debts'!$F$9),M209,0)+IF(AND('Your debts'!$F$8&lt;&gt;"",'Your debts'!$F$9&lt;&gt;"",'Your debts'!$F$8&lt;'Your debts'!$F$9),R209,0)+IF(AND('Your debts'!$F$10&lt;&gt;"",'Your debts'!$F$9&lt;&gt;"",'Your debts'!$F$10&lt;'Your debts'!$F$9),AB209,0)+IF(AND('Your debts'!$F$11&lt;&gt;"",'Your debts'!$F$9&lt;&gt;"",'Your debts'!$F$11&lt;'Your debts'!$F$9),AG209,0)+IF(AND('Your debts'!$F$12&lt;&gt;"",'Your debts'!$F$9&lt;&gt;"",'Your debts'!$F$12&lt;'Your debts'!$F$9),AL209,0)+IF(AND('Your debts'!$F$13&lt;&gt;"",'Your debts'!$F$9&lt;&gt;"",'Your debts'!$F$13&lt;'Your debts'!$F$9),AQ209,0)+IF(AND('Your debts'!$F$14&lt;&gt;"",'Your debts'!$F$9&lt;&gt;"",'Your debts'!$F$14&lt;'Your debts'!$F$9),AV209,0)+IF(AND('Your debts'!$F$15&lt;&gt;"",'Your debts'!$F$9&lt;&gt;"",'Your debts'!$F$15&lt;'Your debts'!$F$9),BA209,0)))))</f>
        <v/>
      </c>
      <c r="Y209" s="33">
        <f>W209-X209</f>
        <v/>
      </c>
      <c r="Z209" s="33">
        <f>IF(AD208&lt;=0,0,ROUND(AD208*(1+'Your debts'!$D$10/1200),2))</f>
        <v/>
      </c>
      <c r="AA209" s="33">
        <f>IF(Z209&lt;=0,0,MIN('Your debts'!$E$10,Z209))</f>
        <v/>
      </c>
      <c r="AB209" s="33">
        <f>Z209-AA209</f>
        <v/>
      </c>
      <c r="AC209" s="33">
        <f>IF('Your debts'!$F$10="",0,MIN(AB209,MAX(0,MAX(0,'Your debts'!$C$19-(G209+L209+Q209+V209+AA209+AF209+AK209+AP209+AU209+AZ209))-(IF(AND('Your debts'!$F$6&lt;&gt;"",'Your debts'!$F$10&lt;&gt;"",'Your debts'!$F$6&lt;'Your debts'!$F$10),H209,0)+IF(AND('Your debts'!$F$7&lt;&gt;"",'Your debts'!$F$10&lt;&gt;"",'Your debts'!$F$7&lt;'Your debts'!$F$10),M209,0)+IF(AND('Your debts'!$F$8&lt;&gt;"",'Your debts'!$F$10&lt;&gt;"",'Your debts'!$F$8&lt;'Your debts'!$F$10),R209,0)+IF(AND('Your debts'!$F$9&lt;&gt;"",'Your debts'!$F$10&lt;&gt;"",'Your debts'!$F$9&lt;'Your debts'!$F$10),W209,0)+IF(AND('Your debts'!$F$11&lt;&gt;"",'Your debts'!$F$10&lt;&gt;"",'Your debts'!$F$11&lt;'Your debts'!$F$10),AG209,0)+IF(AND('Your debts'!$F$12&lt;&gt;"",'Your debts'!$F$10&lt;&gt;"",'Your debts'!$F$12&lt;'Your debts'!$F$10),AL209,0)+IF(AND('Your debts'!$F$13&lt;&gt;"",'Your debts'!$F$10&lt;&gt;"",'Your debts'!$F$13&lt;'Your debts'!$F$10),AQ209,0)+IF(AND('Your debts'!$F$14&lt;&gt;"",'Your debts'!$F$10&lt;&gt;"",'Your debts'!$F$14&lt;'Your debts'!$F$10),AV209,0)+IF(AND('Your debts'!$F$15&lt;&gt;"",'Your debts'!$F$10&lt;&gt;"",'Your debts'!$F$15&lt;'Your debts'!$F$10),BA209,0)))))</f>
        <v/>
      </c>
      <c r="AD209" s="33">
        <f>AB209-AC209</f>
        <v/>
      </c>
      <c r="AE209" s="33">
        <f>IF(AI208&lt;=0,0,ROUND(AI208*(1+'Your debts'!$D$11/1200),2))</f>
        <v/>
      </c>
      <c r="AF209" s="33">
        <f>IF(AE209&lt;=0,0,MIN('Your debts'!$E$11,AE209))</f>
        <v/>
      </c>
      <c r="AG209" s="33">
        <f>AE209-AF209</f>
        <v/>
      </c>
      <c r="AH209" s="33">
        <f>IF('Your debts'!$F$11="",0,MIN(AG209,MAX(0,MAX(0,'Your debts'!$C$19-(G209+L209+Q209+V209+AA209+AF209+AK209+AP209+AU209+AZ209))-(IF(AND('Your debts'!$F$6&lt;&gt;"",'Your debts'!$F$11&lt;&gt;"",'Your debts'!$F$6&lt;'Your debts'!$F$11),H209,0)+IF(AND('Your debts'!$F$7&lt;&gt;"",'Your debts'!$F$11&lt;&gt;"",'Your debts'!$F$7&lt;'Your debts'!$F$11),M209,0)+IF(AND('Your debts'!$F$8&lt;&gt;"",'Your debts'!$F$11&lt;&gt;"",'Your debts'!$F$8&lt;'Your debts'!$F$11),R209,0)+IF(AND('Your debts'!$F$9&lt;&gt;"",'Your debts'!$F$11&lt;&gt;"",'Your debts'!$F$9&lt;'Your debts'!$F$11),W209,0)+IF(AND('Your debts'!$F$10&lt;&gt;"",'Your debts'!$F$11&lt;&gt;"",'Your debts'!$F$10&lt;'Your debts'!$F$11),AB209,0)+IF(AND('Your debts'!$F$12&lt;&gt;"",'Your debts'!$F$11&lt;&gt;"",'Your debts'!$F$12&lt;'Your debts'!$F$11),AL209,0)+IF(AND('Your debts'!$F$13&lt;&gt;"",'Your debts'!$F$11&lt;&gt;"",'Your debts'!$F$13&lt;'Your debts'!$F$11),AQ209,0)+IF(AND('Your debts'!$F$14&lt;&gt;"",'Your debts'!$F$11&lt;&gt;"",'Your debts'!$F$14&lt;'Your debts'!$F$11),AV209,0)+IF(AND('Your debts'!$F$15&lt;&gt;"",'Your debts'!$F$11&lt;&gt;"",'Your debts'!$F$15&lt;'Your debts'!$F$11),BA209,0)))))</f>
        <v/>
      </c>
      <c r="AI209" s="33">
        <f>AG209-AH209</f>
        <v/>
      </c>
      <c r="AJ209" s="33">
        <f>IF(AN208&lt;=0,0,ROUND(AN208*(1+'Your debts'!$D$12/1200),2))</f>
        <v/>
      </c>
      <c r="AK209" s="33">
        <f>IF(AJ209&lt;=0,0,MIN('Your debts'!$E$12,AJ209))</f>
        <v/>
      </c>
      <c r="AL209" s="33">
        <f>AJ209-AK209</f>
        <v/>
      </c>
      <c r="AM209" s="33">
        <f>IF('Your debts'!$F$12="",0,MIN(AL209,MAX(0,MAX(0,'Your debts'!$C$19-(G209+L209+Q209+V209+AA209+AF209+AK209+AP209+AU209+AZ209))-(IF(AND('Your debts'!$F$6&lt;&gt;"",'Your debts'!$F$12&lt;&gt;"",'Your debts'!$F$6&lt;'Your debts'!$F$12),H209,0)+IF(AND('Your debts'!$F$7&lt;&gt;"",'Your debts'!$F$12&lt;&gt;"",'Your debts'!$F$7&lt;'Your debts'!$F$12),M209,0)+IF(AND('Your debts'!$F$8&lt;&gt;"",'Your debts'!$F$12&lt;&gt;"",'Your debts'!$F$8&lt;'Your debts'!$F$12),R209,0)+IF(AND('Your debts'!$F$9&lt;&gt;"",'Your debts'!$F$12&lt;&gt;"",'Your debts'!$F$9&lt;'Your debts'!$F$12),W209,0)+IF(AND('Your debts'!$F$10&lt;&gt;"",'Your debts'!$F$12&lt;&gt;"",'Your debts'!$F$10&lt;'Your debts'!$F$12),AB209,0)+IF(AND('Your debts'!$F$11&lt;&gt;"",'Your debts'!$F$12&lt;&gt;"",'Your debts'!$F$11&lt;'Your debts'!$F$12),AG209,0)+IF(AND('Your debts'!$F$13&lt;&gt;"",'Your debts'!$F$12&lt;&gt;"",'Your debts'!$F$13&lt;'Your debts'!$F$12),AQ209,0)+IF(AND('Your debts'!$F$14&lt;&gt;"",'Your debts'!$F$12&lt;&gt;"",'Your debts'!$F$14&lt;'Your debts'!$F$12),AV209,0)+IF(AND('Your debts'!$F$15&lt;&gt;"",'Your debts'!$F$12&lt;&gt;"",'Your debts'!$F$15&lt;'Your debts'!$F$12),BA209,0)))))</f>
        <v/>
      </c>
      <c r="AN209" s="33">
        <f>AL209-AM209</f>
        <v/>
      </c>
      <c r="AO209" s="33">
        <f>IF(AS208&lt;=0,0,ROUND(AS208*(1+'Your debts'!$D$13/1200),2))</f>
        <v/>
      </c>
      <c r="AP209" s="33">
        <f>IF(AO209&lt;=0,0,MIN('Your debts'!$E$13,AO209))</f>
        <v/>
      </c>
      <c r="AQ209" s="33">
        <f>AO209-AP209</f>
        <v/>
      </c>
      <c r="AR209" s="33">
        <f>IF('Your debts'!$F$13="",0,MIN(AQ209,MAX(0,MAX(0,'Your debts'!$C$19-(G209+L209+Q209+V209+AA209+AF209+AK209+AP209+AU209+AZ209))-(IF(AND('Your debts'!$F$6&lt;&gt;"",'Your debts'!$F$13&lt;&gt;"",'Your debts'!$F$6&lt;'Your debts'!$F$13),H209,0)+IF(AND('Your debts'!$F$7&lt;&gt;"",'Your debts'!$F$13&lt;&gt;"",'Your debts'!$F$7&lt;'Your debts'!$F$13),M209,0)+IF(AND('Your debts'!$F$8&lt;&gt;"",'Your debts'!$F$13&lt;&gt;"",'Your debts'!$F$8&lt;'Your debts'!$F$13),R209,0)+IF(AND('Your debts'!$F$9&lt;&gt;"",'Your debts'!$F$13&lt;&gt;"",'Your debts'!$F$9&lt;'Your debts'!$F$13),W209,0)+IF(AND('Your debts'!$F$10&lt;&gt;"",'Your debts'!$F$13&lt;&gt;"",'Your debts'!$F$10&lt;'Your debts'!$F$13),AB209,0)+IF(AND('Your debts'!$F$11&lt;&gt;"",'Your debts'!$F$13&lt;&gt;"",'Your debts'!$F$11&lt;'Your debts'!$F$13),AG209,0)+IF(AND('Your debts'!$F$12&lt;&gt;"",'Your debts'!$F$13&lt;&gt;"",'Your debts'!$F$12&lt;'Your debts'!$F$13),AL209,0)+IF(AND('Your debts'!$F$14&lt;&gt;"",'Your debts'!$F$13&lt;&gt;"",'Your debts'!$F$14&lt;'Your debts'!$F$13),AV209,0)+IF(AND('Your debts'!$F$15&lt;&gt;"",'Your debts'!$F$13&lt;&gt;"",'Your debts'!$F$15&lt;'Your debts'!$F$13),BA209,0)))))</f>
        <v/>
      </c>
      <c r="AS209" s="33">
        <f>AQ209-AR209</f>
        <v/>
      </c>
      <c r="AT209" s="33">
        <f>IF(AX208&lt;=0,0,ROUND(AX208*(1+'Your debts'!$D$14/1200),2))</f>
        <v/>
      </c>
      <c r="AU209" s="33">
        <f>IF(AT209&lt;=0,0,MIN('Your debts'!$E$14,AT209))</f>
        <v/>
      </c>
      <c r="AV209" s="33">
        <f>AT209-AU209</f>
        <v/>
      </c>
      <c r="AW209" s="33">
        <f>IF('Your debts'!$F$14="",0,MIN(AV209,MAX(0,MAX(0,'Your debts'!$C$19-(G209+L209+Q209+V209+AA209+AF209+AK209+AP209+AU209+AZ209))-(IF(AND('Your debts'!$F$6&lt;&gt;"",'Your debts'!$F$14&lt;&gt;"",'Your debts'!$F$6&lt;'Your debts'!$F$14),H209,0)+IF(AND('Your debts'!$F$7&lt;&gt;"",'Your debts'!$F$14&lt;&gt;"",'Your debts'!$F$7&lt;'Your debts'!$F$14),M209,0)+IF(AND('Your debts'!$F$8&lt;&gt;"",'Your debts'!$F$14&lt;&gt;"",'Your debts'!$F$8&lt;'Your debts'!$F$14),R209,0)+IF(AND('Your debts'!$F$9&lt;&gt;"",'Your debts'!$F$14&lt;&gt;"",'Your debts'!$F$9&lt;'Your debts'!$F$14),W209,0)+IF(AND('Your debts'!$F$10&lt;&gt;"",'Your debts'!$F$14&lt;&gt;"",'Your debts'!$F$10&lt;'Your debts'!$F$14),AB209,0)+IF(AND('Your debts'!$F$11&lt;&gt;"",'Your debts'!$F$14&lt;&gt;"",'Your debts'!$F$11&lt;'Your debts'!$F$14),AG209,0)+IF(AND('Your debts'!$F$12&lt;&gt;"",'Your debts'!$F$14&lt;&gt;"",'Your debts'!$F$12&lt;'Your debts'!$F$14),AL209,0)+IF(AND('Your debts'!$F$13&lt;&gt;"",'Your debts'!$F$14&lt;&gt;"",'Your debts'!$F$13&lt;'Your debts'!$F$14),AQ209,0)+IF(AND('Your debts'!$F$15&lt;&gt;"",'Your debts'!$F$14&lt;&gt;"",'Your debts'!$F$15&lt;'Your debts'!$F$14),BA209,0)))))</f>
        <v/>
      </c>
      <c r="AX209" s="33">
        <f>AV209-AW209</f>
        <v/>
      </c>
      <c r="AY209" s="33">
        <f>IF(BC208&lt;=0,0,ROUND(BC208*(1+'Your debts'!$D$15/1200),2))</f>
        <v/>
      </c>
      <c r="AZ209" s="33">
        <f>IF(AY209&lt;=0,0,MIN('Your debts'!$E$15,AY209))</f>
        <v/>
      </c>
      <c r="BA209" s="33">
        <f>AY209-AZ209</f>
        <v/>
      </c>
      <c r="BB209" s="33">
        <f>IF('Your debts'!$F$15="",0,MIN(BA209,MAX(0,MAX(0,'Your debts'!$C$19-(G209+L209+Q209+V209+AA209+AF209+AK209+AP209+AU209+AZ209))-(IF(AND('Your debts'!$F$6&lt;&gt;"",'Your debts'!$F$15&lt;&gt;"",'Your debts'!$F$6&lt;'Your debts'!$F$15),H209,0)+IF(AND('Your debts'!$F$7&lt;&gt;"",'Your debts'!$F$15&lt;&gt;"",'Your debts'!$F$7&lt;'Your debts'!$F$15),M209,0)+IF(AND('Your debts'!$F$8&lt;&gt;"",'Your debts'!$F$15&lt;&gt;"",'Your debts'!$F$8&lt;'Your debts'!$F$15),R209,0)+IF(AND('Your debts'!$F$9&lt;&gt;"",'Your debts'!$F$15&lt;&gt;"",'Your debts'!$F$9&lt;'Your debts'!$F$15),W209,0)+IF(AND('Your debts'!$F$10&lt;&gt;"",'Your debts'!$F$15&lt;&gt;"",'Your debts'!$F$10&lt;'Your debts'!$F$15),AB209,0)+IF(AND('Your debts'!$F$11&lt;&gt;"",'Your debts'!$F$15&lt;&gt;"",'Your debts'!$F$11&lt;'Your debts'!$F$15),AG209,0)+IF(AND('Your debts'!$F$12&lt;&gt;"",'Your debts'!$F$15&lt;&gt;"",'Your debts'!$F$12&lt;'Your debts'!$F$15),AL209,0)+IF(AND('Your debts'!$F$13&lt;&gt;"",'Your debts'!$F$15&lt;&gt;"",'Your debts'!$F$13&lt;'Your debts'!$F$15),AQ209,0)+IF(AND('Your debts'!$F$14&lt;&gt;"",'Your debts'!$F$15&lt;&gt;"",'Your debts'!$F$14&lt;'Your debts'!$F$15),AV209,0)))))</f>
        <v/>
      </c>
      <c r="BC209" s="33">
        <f>BA209-BB209</f>
        <v/>
      </c>
    </row>
    <row r="210">
      <c r="A210" s="30" t="n">
        <v>195</v>
      </c>
      <c r="B210" s="31">
        <f>EDATE($B$15,195)</f>
        <v/>
      </c>
      <c r="C210" s="32">
        <f>IF(J209&lt;=0,0,F210-J209)+IF(O209&lt;=0,0,K210-O209)+IF(T209&lt;=0,0,P210-T209)+IF(Y209&lt;=0,0,U210-Y209)+IF(AD209&lt;=0,0,Z210-AD209)+IF(AI209&lt;=0,0,AE210-AI209)+IF(AN209&lt;=0,0,AJ210-AN209)+IF(AS209&lt;=0,0,AO210-AS209)+IF(AX209&lt;=0,0,AT210-AX209)+IF(BC209&lt;=0,0,AY210-BC209)</f>
        <v/>
      </c>
      <c r="D210" s="32">
        <f>G210+I210+L210+N210+Q210+S210+V210+X210+AA210+AC210+AF210+AH210+AK210+AM210+AP210+AR210+AU210+AW210+AZ210+BB210</f>
        <v/>
      </c>
      <c r="E210" s="32">
        <f>J210+O210+T210+Y210+AD210+AI210+AN210+AS210+AX210+BC210</f>
        <v/>
      </c>
      <c r="F210" s="33">
        <f>IF(J209&lt;=0,0,ROUND(J209*(1+'Your debts'!$D$6/1200),2))</f>
        <v/>
      </c>
      <c r="G210" s="33">
        <f>IF(F210&lt;=0,0,MIN('Your debts'!$E$6,F210))</f>
        <v/>
      </c>
      <c r="H210" s="33">
        <f>F210-G210</f>
        <v/>
      </c>
      <c r="I210" s="33">
        <f>IF('Your debts'!$F$6="",0,MIN(H210,MAX(0,MAX(0,'Your debts'!$C$19-(G210+L210+Q210+V210+AA210+AF210+AK210+AP210+AU210+AZ210))-(IF(AND('Your debts'!$F$7&lt;&gt;"",'Your debts'!$F$6&lt;&gt;"",'Your debts'!$F$7&lt;'Your debts'!$F$6),M210,0)+IF(AND('Your debts'!$F$8&lt;&gt;"",'Your debts'!$F$6&lt;&gt;"",'Your debts'!$F$8&lt;'Your debts'!$F$6),R210,0)+IF(AND('Your debts'!$F$9&lt;&gt;"",'Your debts'!$F$6&lt;&gt;"",'Your debts'!$F$9&lt;'Your debts'!$F$6),W210,0)+IF(AND('Your debts'!$F$10&lt;&gt;"",'Your debts'!$F$6&lt;&gt;"",'Your debts'!$F$10&lt;'Your debts'!$F$6),AB210,0)+IF(AND('Your debts'!$F$11&lt;&gt;"",'Your debts'!$F$6&lt;&gt;"",'Your debts'!$F$11&lt;'Your debts'!$F$6),AG210,0)+IF(AND('Your debts'!$F$12&lt;&gt;"",'Your debts'!$F$6&lt;&gt;"",'Your debts'!$F$12&lt;'Your debts'!$F$6),AL210,0)+IF(AND('Your debts'!$F$13&lt;&gt;"",'Your debts'!$F$6&lt;&gt;"",'Your debts'!$F$13&lt;'Your debts'!$F$6),AQ210,0)+IF(AND('Your debts'!$F$14&lt;&gt;"",'Your debts'!$F$6&lt;&gt;"",'Your debts'!$F$14&lt;'Your debts'!$F$6),AV210,0)+IF(AND('Your debts'!$F$15&lt;&gt;"",'Your debts'!$F$6&lt;&gt;"",'Your debts'!$F$15&lt;'Your debts'!$F$6),BA210,0)))))</f>
        <v/>
      </c>
      <c r="J210" s="33">
        <f>H210-I210</f>
        <v/>
      </c>
      <c r="K210" s="33">
        <f>IF(O209&lt;=0,0,ROUND(O209*(1+'Your debts'!$D$7/1200),2))</f>
        <v/>
      </c>
      <c r="L210" s="33">
        <f>IF(K210&lt;=0,0,MIN('Your debts'!$E$7,K210))</f>
        <v/>
      </c>
      <c r="M210" s="33">
        <f>K210-L210</f>
        <v/>
      </c>
      <c r="N210" s="33">
        <f>IF('Your debts'!$F$7="",0,MIN(M210,MAX(0,MAX(0,'Your debts'!$C$19-(G210+L210+Q210+V210+AA210+AF210+AK210+AP210+AU210+AZ210))-(IF(AND('Your debts'!$F$6&lt;&gt;"",'Your debts'!$F$7&lt;&gt;"",'Your debts'!$F$6&lt;'Your debts'!$F$7),H210,0)+IF(AND('Your debts'!$F$8&lt;&gt;"",'Your debts'!$F$7&lt;&gt;"",'Your debts'!$F$8&lt;'Your debts'!$F$7),R210,0)+IF(AND('Your debts'!$F$9&lt;&gt;"",'Your debts'!$F$7&lt;&gt;"",'Your debts'!$F$9&lt;'Your debts'!$F$7),W210,0)+IF(AND('Your debts'!$F$10&lt;&gt;"",'Your debts'!$F$7&lt;&gt;"",'Your debts'!$F$10&lt;'Your debts'!$F$7),AB210,0)+IF(AND('Your debts'!$F$11&lt;&gt;"",'Your debts'!$F$7&lt;&gt;"",'Your debts'!$F$11&lt;'Your debts'!$F$7),AG210,0)+IF(AND('Your debts'!$F$12&lt;&gt;"",'Your debts'!$F$7&lt;&gt;"",'Your debts'!$F$12&lt;'Your debts'!$F$7),AL210,0)+IF(AND('Your debts'!$F$13&lt;&gt;"",'Your debts'!$F$7&lt;&gt;"",'Your debts'!$F$13&lt;'Your debts'!$F$7),AQ210,0)+IF(AND('Your debts'!$F$14&lt;&gt;"",'Your debts'!$F$7&lt;&gt;"",'Your debts'!$F$14&lt;'Your debts'!$F$7),AV210,0)+IF(AND('Your debts'!$F$15&lt;&gt;"",'Your debts'!$F$7&lt;&gt;"",'Your debts'!$F$15&lt;'Your debts'!$F$7),BA210,0)))))</f>
        <v/>
      </c>
      <c r="O210" s="33">
        <f>M210-N210</f>
        <v/>
      </c>
      <c r="P210" s="33">
        <f>IF(T209&lt;=0,0,ROUND(T209*(1+'Your debts'!$D$8/1200),2))</f>
        <v/>
      </c>
      <c r="Q210" s="33">
        <f>IF(P210&lt;=0,0,MIN('Your debts'!$E$8,P210))</f>
        <v/>
      </c>
      <c r="R210" s="33">
        <f>P210-Q210</f>
        <v/>
      </c>
      <c r="S210" s="33">
        <f>IF('Your debts'!$F$8="",0,MIN(R210,MAX(0,MAX(0,'Your debts'!$C$19-(G210+L210+Q210+V210+AA210+AF210+AK210+AP210+AU210+AZ210))-(IF(AND('Your debts'!$F$6&lt;&gt;"",'Your debts'!$F$8&lt;&gt;"",'Your debts'!$F$6&lt;'Your debts'!$F$8),H210,0)+IF(AND('Your debts'!$F$7&lt;&gt;"",'Your debts'!$F$8&lt;&gt;"",'Your debts'!$F$7&lt;'Your debts'!$F$8),M210,0)+IF(AND('Your debts'!$F$9&lt;&gt;"",'Your debts'!$F$8&lt;&gt;"",'Your debts'!$F$9&lt;'Your debts'!$F$8),W210,0)+IF(AND('Your debts'!$F$10&lt;&gt;"",'Your debts'!$F$8&lt;&gt;"",'Your debts'!$F$10&lt;'Your debts'!$F$8),AB210,0)+IF(AND('Your debts'!$F$11&lt;&gt;"",'Your debts'!$F$8&lt;&gt;"",'Your debts'!$F$11&lt;'Your debts'!$F$8),AG210,0)+IF(AND('Your debts'!$F$12&lt;&gt;"",'Your debts'!$F$8&lt;&gt;"",'Your debts'!$F$12&lt;'Your debts'!$F$8),AL210,0)+IF(AND('Your debts'!$F$13&lt;&gt;"",'Your debts'!$F$8&lt;&gt;"",'Your debts'!$F$13&lt;'Your debts'!$F$8),AQ210,0)+IF(AND('Your debts'!$F$14&lt;&gt;"",'Your debts'!$F$8&lt;&gt;"",'Your debts'!$F$14&lt;'Your debts'!$F$8),AV210,0)+IF(AND('Your debts'!$F$15&lt;&gt;"",'Your debts'!$F$8&lt;&gt;"",'Your debts'!$F$15&lt;'Your debts'!$F$8),BA210,0)))))</f>
        <v/>
      </c>
      <c r="T210" s="33">
        <f>R210-S210</f>
        <v/>
      </c>
      <c r="U210" s="33">
        <f>IF(Y209&lt;=0,0,ROUND(Y209*(1+'Your debts'!$D$9/1200),2))</f>
        <v/>
      </c>
      <c r="V210" s="33">
        <f>IF(U210&lt;=0,0,MIN('Your debts'!$E$9,U210))</f>
        <v/>
      </c>
      <c r="W210" s="33">
        <f>U210-V210</f>
        <v/>
      </c>
      <c r="X210" s="33">
        <f>IF('Your debts'!$F$9="",0,MIN(W210,MAX(0,MAX(0,'Your debts'!$C$19-(G210+L210+Q210+V210+AA210+AF210+AK210+AP210+AU210+AZ210))-(IF(AND('Your debts'!$F$6&lt;&gt;"",'Your debts'!$F$9&lt;&gt;"",'Your debts'!$F$6&lt;'Your debts'!$F$9),H210,0)+IF(AND('Your debts'!$F$7&lt;&gt;"",'Your debts'!$F$9&lt;&gt;"",'Your debts'!$F$7&lt;'Your debts'!$F$9),M210,0)+IF(AND('Your debts'!$F$8&lt;&gt;"",'Your debts'!$F$9&lt;&gt;"",'Your debts'!$F$8&lt;'Your debts'!$F$9),R210,0)+IF(AND('Your debts'!$F$10&lt;&gt;"",'Your debts'!$F$9&lt;&gt;"",'Your debts'!$F$10&lt;'Your debts'!$F$9),AB210,0)+IF(AND('Your debts'!$F$11&lt;&gt;"",'Your debts'!$F$9&lt;&gt;"",'Your debts'!$F$11&lt;'Your debts'!$F$9),AG210,0)+IF(AND('Your debts'!$F$12&lt;&gt;"",'Your debts'!$F$9&lt;&gt;"",'Your debts'!$F$12&lt;'Your debts'!$F$9),AL210,0)+IF(AND('Your debts'!$F$13&lt;&gt;"",'Your debts'!$F$9&lt;&gt;"",'Your debts'!$F$13&lt;'Your debts'!$F$9),AQ210,0)+IF(AND('Your debts'!$F$14&lt;&gt;"",'Your debts'!$F$9&lt;&gt;"",'Your debts'!$F$14&lt;'Your debts'!$F$9),AV210,0)+IF(AND('Your debts'!$F$15&lt;&gt;"",'Your debts'!$F$9&lt;&gt;"",'Your debts'!$F$15&lt;'Your debts'!$F$9),BA210,0)))))</f>
        <v/>
      </c>
      <c r="Y210" s="33">
        <f>W210-X210</f>
        <v/>
      </c>
      <c r="Z210" s="33">
        <f>IF(AD209&lt;=0,0,ROUND(AD209*(1+'Your debts'!$D$10/1200),2))</f>
        <v/>
      </c>
      <c r="AA210" s="33">
        <f>IF(Z210&lt;=0,0,MIN('Your debts'!$E$10,Z210))</f>
        <v/>
      </c>
      <c r="AB210" s="33">
        <f>Z210-AA210</f>
        <v/>
      </c>
      <c r="AC210" s="33">
        <f>IF('Your debts'!$F$10="",0,MIN(AB210,MAX(0,MAX(0,'Your debts'!$C$19-(G210+L210+Q210+V210+AA210+AF210+AK210+AP210+AU210+AZ210))-(IF(AND('Your debts'!$F$6&lt;&gt;"",'Your debts'!$F$10&lt;&gt;"",'Your debts'!$F$6&lt;'Your debts'!$F$10),H210,0)+IF(AND('Your debts'!$F$7&lt;&gt;"",'Your debts'!$F$10&lt;&gt;"",'Your debts'!$F$7&lt;'Your debts'!$F$10),M210,0)+IF(AND('Your debts'!$F$8&lt;&gt;"",'Your debts'!$F$10&lt;&gt;"",'Your debts'!$F$8&lt;'Your debts'!$F$10),R210,0)+IF(AND('Your debts'!$F$9&lt;&gt;"",'Your debts'!$F$10&lt;&gt;"",'Your debts'!$F$9&lt;'Your debts'!$F$10),W210,0)+IF(AND('Your debts'!$F$11&lt;&gt;"",'Your debts'!$F$10&lt;&gt;"",'Your debts'!$F$11&lt;'Your debts'!$F$10),AG210,0)+IF(AND('Your debts'!$F$12&lt;&gt;"",'Your debts'!$F$10&lt;&gt;"",'Your debts'!$F$12&lt;'Your debts'!$F$10),AL210,0)+IF(AND('Your debts'!$F$13&lt;&gt;"",'Your debts'!$F$10&lt;&gt;"",'Your debts'!$F$13&lt;'Your debts'!$F$10),AQ210,0)+IF(AND('Your debts'!$F$14&lt;&gt;"",'Your debts'!$F$10&lt;&gt;"",'Your debts'!$F$14&lt;'Your debts'!$F$10),AV210,0)+IF(AND('Your debts'!$F$15&lt;&gt;"",'Your debts'!$F$10&lt;&gt;"",'Your debts'!$F$15&lt;'Your debts'!$F$10),BA210,0)))))</f>
        <v/>
      </c>
      <c r="AD210" s="33">
        <f>AB210-AC210</f>
        <v/>
      </c>
      <c r="AE210" s="33">
        <f>IF(AI209&lt;=0,0,ROUND(AI209*(1+'Your debts'!$D$11/1200),2))</f>
        <v/>
      </c>
      <c r="AF210" s="33">
        <f>IF(AE210&lt;=0,0,MIN('Your debts'!$E$11,AE210))</f>
        <v/>
      </c>
      <c r="AG210" s="33">
        <f>AE210-AF210</f>
        <v/>
      </c>
      <c r="AH210" s="33">
        <f>IF('Your debts'!$F$11="",0,MIN(AG210,MAX(0,MAX(0,'Your debts'!$C$19-(G210+L210+Q210+V210+AA210+AF210+AK210+AP210+AU210+AZ210))-(IF(AND('Your debts'!$F$6&lt;&gt;"",'Your debts'!$F$11&lt;&gt;"",'Your debts'!$F$6&lt;'Your debts'!$F$11),H210,0)+IF(AND('Your debts'!$F$7&lt;&gt;"",'Your debts'!$F$11&lt;&gt;"",'Your debts'!$F$7&lt;'Your debts'!$F$11),M210,0)+IF(AND('Your debts'!$F$8&lt;&gt;"",'Your debts'!$F$11&lt;&gt;"",'Your debts'!$F$8&lt;'Your debts'!$F$11),R210,0)+IF(AND('Your debts'!$F$9&lt;&gt;"",'Your debts'!$F$11&lt;&gt;"",'Your debts'!$F$9&lt;'Your debts'!$F$11),W210,0)+IF(AND('Your debts'!$F$10&lt;&gt;"",'Your debts'!$F$11&lt;&gt;"",'Your debts'!$F$10&lt;'Your debts'!$F$11),AB210,0)+IF(AND('Your debts'!$F$12&lt;&gt;"",'Your debts'!$F$11&lt;&gt;"",'Your debts'!$F$12&lt;'Your debts'!$F$11),AL210,0)+IF(AND('Your debts'!$F$13&lt;&gt;"",'Your debts'!$F$11&lt;&gt;"",'Your debts'!$F$13&lt;'Your debts'!$F$11),AQ210,0)+IF(AND('Your debts'!$F$14&lt;&gt;"",'Your debts'!$F$11&lt;&gt;"",'Your debts'!$F$14&lt;'Your debts'!$F$11),AV210,0)+IF(AND('Your debts'!$F$15&lt;&gt;"",'Your debts'!$F$11&lt;&gt;"",'Your debts'!$F$15&lt;'Your debts'!$F$11),BA210,0)))))</f>
        <v/>
      </c>
      <c r="AI210" s="33">
        <f>AG210-AH210</f>
        <v/>
      </c>
      <c r="AJ210" s="33">
        <f>IF(AN209&lt;=0,0,ROUND(AN209*(1+'Your debts'!$D$12/1200),2))</f>
        <v/>
      </c>
      <c r="AK210" s="33">
        <f>IF(AJ210&lt;=0,0,MIN('Your debts'!$E$12,AJ210))</f>
        <v/>
      </c>
      <c r="AL210" s="33">
        <f>AJ210-AK210</f>
        <v/>
      </c>
      <c r="AM210" s="33">
        <f>IF('Your debts'!$F$12="",0,MIN(AL210,MAX(0,MAX(0,'Your debts'!$C$19-(G210+L210+Q210+V210+AA210+AF210+AK210+AP210+AU210+AZ210))-(IF(AND('Your debts'!$F$6&lt;&gt;"",'Your debts'!$F$12&lt;&gt;"",'Your debts'!$F$6&lt;'Your debts'!$F$12),H210,0)+IF(AND('Your debts'!$F$7&lt;&gt;"",'Your debts'!$F$12&lt;&gt;"",'Your debts'!$F$7&lt;'Your debts'!$F$12),M210,0)+IF(AND('Your debts'!$F$8&lt;&gt;"",'Your debts'!$F$12&lt;&gt;"",'Your debts'!$F$8&lt;'Your debts'!$F$12),R210,0)+IF(AND('Your debts'!$F$9&lt;&gt;"",'Your debts'!$F$12&lt;&gt;"",'Your debts'!$F$9&lt;'Your debts'!$F$12),W210,0)+IF(AND('Your debts'!$F$10&lt;&gt;"",'Your debts'!$F$12&lt;&gt;"",'Your debts'!$F$10&lt;'Your debts'!$F$12),AB210,0)+IF(AND('Your debts'!$F$11&lt;&gt;"",'Your debts'!$F$12&lt;&gt;"",'Your debts'!$F$11&lt;'Your debts'!$F$12),AG210,0)+IF(AND('Your debts'!$F$13&lt;&gt;"",'Your debts'!$F$12&lt;&gt;"",'Your debts'!$F$13&lt;'Your debts'!$F$12),AQ210,0)+IF(AND('Your debts'!$F$14&lt;&gt;"",'Your debts'!$F$12&lt;&gt;"",'Your debts'!$F$14&lt;'Your debts'!$F$12),AV210,0)+IF(AND('Your debts'!$F$15&lt;&gt;"",'Your debts'!$F$12&lt;&gt;"",'Your debts'!$F$15&lt;'Your debts'!$F$12),BA210,0)))))</f>
        <v/>
      </c>
      <c r="AN210" s="33">
        <f>AL210-AM210</f>
        <v/>
      </c>
      <c r="AO210" s="33">
        <f>IF(AS209&lt;=0,0,ROUND(AS209*(1+'Your debts'!$D$13/1200),2))</f>
        <v/>
      </c>
      <c r="AP210" s="33">
        <f>IF(AO210&lt;=0,0,MIN('Your debts'!$E$13,AO210))</f>
        <v/>
      </c>
      <c r="AQ210" s="33">
        <f>AO210-AP210</f>
        <v/>
      </c>
      <c r="AR210" s="33">
        <f>IF('Your debts'!$F$13="",0,MIN(AQ210,MAX(0,MAX(0,'Your debts'!$C$19-(G210+L210+Q210+V210+AA210+AF210+AK210+AP210+AU210+AZ210))-(IF(AND('Your debts'!$F$6&lt;&gt;"",'Your debts'!$F$13&lt;&gt;"",'Your debts'!$F$6&lt;'Your debts'!$F$13),H210,0)+IF(AND('Your debts'!$F$7&lt;&gt;"",'Your debts'!$F$13&lt;&gt;"",'Your debts'!$F$7&lt;'Your debts'!$F$13),M210,0)+IF(AND('Your debts'!$F$8&lt;&gt;"",'Your debts'!$F$13&lt;&gt;"",'Your debts'!$F$8&lt;'Your debts'!$F$13),R210,0)+IF(AND('Your debts'!$F$9&lt;&gt;"",'Your debts'!$F$13&lt;&gt;"",'Your debts'!$F$9&lt;'Your debts'!$F$13),W210,0)+IF(AND('Your debts'!$F$10&lt;&gt;"",'Your debts'!$F$13&lt;&gt;"",'Your debts'!$F$10&lt;'Your debts'!$F$13),AB210,0)+IF(AND('Your debts'!$F$11&lt;&gt;"",'Your debts'!$F$13&lt;&gt;"",'Your debts'!$F$11&lt;'Your debts'!$F$13),AG210,0)+IF(AND('Your debts'!$F$12&lt;&gt;"",'Your debts'!$F$13&lt;&gt;"",'Your debts'!$F$12&lt;'Your debts'!$F$13),AL210,0)+IF(AND('Your debts'!$F$14&lt;&gt;"",'Your debts'!$F$13&lt;&gt;"",'Your debts'!$F$14&lt;'Your debts'!$F$13),AV210,0)+IF(AND('Your debts'!$F$15&lt;&gt;"",'Your debts'!$F$13&lt;&gt;"",'Your debts'!$F$15&lt;'Your debts'!$F$13),BA210,0)))))</f>
        <v/>
      </c>
      <c r="AS210" s="33">
        <f>AQ210-AR210</f>
        <v/>
      </c>
      <c r="AT210" s="33">
        <f>IF(AX209&lt;=0,0,ROUND(AX209*(1+'Your debts'!$D$14/1200),2))</f>
        <v/>
      </c>
      <c r="AU210" s="33">
        <f>IF(AT210&lt;=0,0,MIN('Your debts'!$E$14,AT210))</f>
        <v/>
      </c>
      <c r="AV210" s="33">
        <f>AT210-AU210</f>
        <v/>
      </c>
      <c r="AW210" s="33">
        <f>IF('Your debts'!$F$14="",0,MIN(AV210,MAX(0,MAX(0,'Your debts'!$C$19-(G210+L210+Q210+V210+AA210+AF210+AK210+AP210+AU210+AZ210))-(IF(AND('Your debts'!$F$6&lt;&gt;"",'Your debts'!$F$14&lt;&gt;"",'Your debts'!$F$6&lt;'Your debts'!$F$14),H210,0)+IF(AND('Your debts'!$F$7&lt;&gt;"",'Your debts'!$F$14&lt;&gt;"",'Your debts'!$F$7&lt;'Your debts'!$F$14),M210,0)+IF(AND('Your debts'!$F$8&lt;&gt;"",'Your debts'!$F$14&lt;&gt;"",'Your debts'!$F$8&lt;'Your debts'!$F$14),R210,0)+IF(AND('Your debts'!$F$9&lt;&gt;"",'Your debts'!$F$14&lt;&gt;"",'Your debts'!$F$9&lt;'Your debts'!$F$14),W210,0)+IF(AND('Your debts'!$F$10&lt;&gt;"",'Your debts'!$F$14&lt;&gt;"",'Your debts'!$F$10&lt;'Your debts'!$F$14),AB210,0)+IF(AND('Your debts'!$F$11&lt;&gt;"",'Your debts'!$F$14&lt;&gt;"",'Your debts'!$F$11&lt;'Your debts'!$F$14),AG210,0)+IF(AND('Your debts'!$F$12&lt;&gt;"",'Your debts'!$F$14&lt;&gt;"",'Your debts'!$F$12&lt;'Your debts'!$F$14),AL210,0)+IF(AND('Your debts'!$F$13&lt;&gt;"",'Your debts'!$F$14&lt;&gt;"",'Your debts'!$F$13&lt;'Your debts'!$F$14),AQ210,0)+IF(AND('Your debts'!$F$15&lt;&gt;"",'Your debts'!$F$14&lt;&gt;"",'Your debts'!$F$15&lt;'Your debts'!$F$14),BA210,0)))))</f>
        <v/>
      </c>
      <c r="AX210" s="33">
        <f>AV210-AW210</f>
        <v/>
      </c>
      <c r="AY210" s="33">
        <f>IF(BC209&lt;=0,0,ROUND(BC209*(1+'Your debts'!$D$15/1200),2))</f>
        <v/>
      </c>
      <c r="AZ210" s="33">
        <f>IF(AY210&lt;=0,0,MIN('Your debts'!$E$15,AY210))</f>
        <v/>
      </c>
      <c r="BA210" s="33">
        <f>AY210-AZ210</f>
        <v/>
      </c>
      <c r="BB210" s="33">
        <f>IF('Your debts'!$F$15="",0,MIN(BA210,MAX(0,MAX(0,'Your debts'!$C$19-(G210+L210+Q210+V210+AA210+AF210+AK210+AP210+AU210+AZ210))-(IF(AND('Your debts'!$F$6&lt;&gt;"",'Your debts'!$F$15&lt;&gt;"",'Your debts'!$F$6&lt;'Your debts'!$F$15),H210,0)+IF(AND('Your debts'!$F$7&lt;&gt;"",'Your debts'!$F$15&lt;&gt;"",'Your debts'!$F$7&lt;'Your debts'!$F$15),M210,0)+IF(AND('Your debts'!$F$8&lt;&gt;"",'Your debts'!$F$15&lt;&gt;"",'Your debts'!$F$8&lt;'Your debts'!$F$15),R210,0)+IF(AND('Your debts'!$F$9&lt;&gt;"",'Your debts'!$F$15&lt;&gt;"",'Your debts'!$F$9&lt;'Your debts'!$F$15),W210,0)+IF(AND('Your debts'!$F$10&lt;&gt;"",'Your debts'!$F$15&lt;&gt;"",'Your debts'!$F$10&lt;'Your debts'!$F$15),AB210,0)+IF(AND('Your debts'!$F$11&lt;&gt;"",'Your debts'!$F$15&lt;&gt;"",'Your debts'!$F$11&lt;'Your debts'!$F$15),AG210,0)+IF(AND('Your debts'!$F$12&lt;&gt;"",'Your debts'!$F$15&lt;&gt;"",'Your debts'!$F$12&lt;'Your debts'!$F$15),AL210,0)+IF(AND('Your debts'!$F$13&lt;&gt;"",'Your debts'!$F$15&lt;&gt;"",'Your debts'!$F$13&lt;'Your debts'!$F$15),AQ210,0)+IF(AND('Your debts'!$F$14&lt;&gt;"",'Your debts'!$F$15&lt;&gt;"",'Your debts'!$F$14&lt;'Your debts'!$F$15),AV210,0)))))</f>
        <v/>
      </c>
      <c r="BC210" s="33">
        <f>BA210-BB210</f>
        <v/>
      </c>
    </row>
    <row r="211">
      <c r="A211" s="30" t="n">
        <v>196</v>
      </c>
      <c r="B211" s="31">
        <f>EDATE($B$15,196)</f>
        <v/>
      </c>
      <c r="C211" s="32">
        <f>IF(J210&lt;=0,0,F211-J210)+IF(O210&lt;=0,0,K211-O210)+IF(T210&lt;=0,0,P211-T210)+IF(Y210&lt;=0,0,U211-Y210)+IF(AD210&lt;=0,0,Z211-AD210)+IF(AI210&lt;=0,0,AE211-AI210)+IF(AN210&lt;=0,0,AJ211-AN210)+IF(AS210&lt;=0,0,AO211-AS210)+IF(AX210&lt;=0,0,AT211-AX210)+IF(BC210&lt;=0,0,AY211-BC210)</f>
        <v/>
      </c>
      <c r="D211" s="32">
        <f>G211+I211+L211+N211+Q211+S211+V211+X211+AA211+AC211+AF211+AH211+AK211+AM211+AP211+AR211+AU211+AW211+AZ211+BB211</f>
        <v/>
      </c>
      <c r="E211" s="32">
        <f>J211+O211+T211+Y211+AD211+AI211+AN211+AS211+AX211+BC211</f>
        <v/>
      </c>
      <c r="F211" s="33">
        <f>IF(J210&lt;=0,0,ROUND(J210*(1+'Your debts'!$D$6/1200),2))</f>
        <v/>
      </c>
      <c r="G211" s="33">
        <f>IF(F211&lt;=0,0,MIN('Your debts'!$E$6,F211))</f>
        <v/>
      </c>
      <c r="H211" s="33">
        <f>F211-G211</f>
        <v/>
      </c>
      <c r="I211" s="33">
        <f>IF('Your debts'!$F$6="",0,MIN(H211,MAX(0,MAX(0,'Your debts'!$C$19-(G211+L211+Q211+V211+AA211+AF211+AK211+AP211+AU211+AZ211))-(IF(AND('Your debts'!$F$7&lt;&gt;"",'Your debts'!$F$6&lt;&gt;"",'Your debts'!$F$7&lt;'Your debts'!$F$6),M211,0)+IF(AND('Your debts'!$F$8&lt;&gt;"",'Your debts'!$F$6&lt;&gt;"",'Your debts'!$F$8&lt;'Your debts'!$F$6),R211,0)+IF(AND('Your debts'!$F$9&lt;&gt;"",'Your debts'!$F$6&lt;&gt;"",'Your debts'!$F$9&lt;'Your debts'!$F$6),W211,0)+IF(AND('Your debts'!$F$10&lt;&gt;"",'Your debts'!$F$6&lt;&gt;"",'Your debts'!$F$10&lt;'Your debts'!$F$6),AB211,0)+IF(AND('Your debts'!$F$11&lt;&gt;"",'Your debts'!$F$6&lt;&gt;"",'Your debts'!$F$11&lt;'Your debts'!$F$6),AG211,0)+IF(AND('Your debts'!$F$12&lt;&gt;"",'Your debts'!$F$6&lt;&gt;"",'Your debts'!$F$12&lt;'Your debts'!$F$6),AL211,0)+IF(AND('Your debts'!$F$13&lt;&gt;"",'Your debts'!$F$6&lt;&gt;"",'Your debts'!$F$13&lt;'Your debts'!$F$6),AQ211,0)+IF(AND('Your debts'!$F$14&lt;&gt;"",'Your debts'!$F$6&lt;&gt;"",'Your debts'!$F$14&lt;'Your debts'!$F$6),AV211,0)+IF(AND('Your debts'!$F$15&lt;&gt;"",'Your debts'!$F$6&lt;&gt;"",'Your debts'!$F$15&lt;'Your debts'!$F$6),BA211,0)))))</f>
        <v/>
      </c>
      <c r="J211" s="33">
        <f>H211-I211</f>
        <v/>
      </c>
      <c r="K211" s="33">
        <f>IF(O210&lt;=0,0,ROUND(O210*(1+'Your debts'!$D$7/1200),2))</f>
        <v/>
      </c>
      <c r="L211" s="33">
        <f>IF(K211&lt;=0,0,MIN('Your debts'!$E$7,K211))</f>
        <v/>
      </c>
      <c r="M211" s="33">
        <f>K211-L211</f>
        <v/>
      </c>
      <c r="N211" s="33">
        <f>IF('Your debts'!$F$7="",0,MIN(M211,MAX(0,MAX(0,'Your debts'!$C$19-(G211+L211+Q211+V211+AA211+AF211+AK211+AP211+AU211+AZ211))-(IF(AND('Your debts'!$F$6&lt;&gt;"",'Your debts'!$F$7&lt;&gt;"",'Your debts'!$F$6&lt;'Your debts'!$F$7),H211,0)+IF(AND('Your debts'!$F$8&lt;&gt;"",'Your debts'!$F$7&lt;&gt;"",'Your debts'!$F$8&lt;'Your debts'!$F$7),R211,0)+IF(AND('Your debts'!$F$9&lt;&gt;"",'Your debts'!$F$7&lt;&gt;"",'Your debts'!$F$9&lt;'Your debts'!$F$7),W211,0)+IF(AND('Your debts'!$F$10&lt;&gt;"",'Your debts'!$F$7&lt;&gt;"",'Your debts'!$F$10&lt;'Your debts'!$F$7),AB211,0)+IF(AND('Your debts'!$F$11&lt;&gt;"",'Your debts'!$F$7&lt;&gt;"",'Your debts'!$F$11&lt;'Your debts'!$F$7),AG211,0)+IF(AND('Your debts'!$F$12&lt;&gt;"",'Your debts'!$F$7&lt;&gt;"",'Your debts'!$F$12&lt;'Your debts'!$F$7),AL211,0)+IF(AND('Your debts'!$F$13&lt;&gt;"",'Your debts'!$F$7&lt;&gt;"",'Your debts'!$F$13&lt;'Your debts'!$F$7),AQ211,0)+IF(AND('Your debts'!$F$14&lt;&gt;"",'Your debts'!$F$7&lt;&gt;"",'Your debts'!$F$14&lt;'Your debts'!$F$7),AV211,0)+IF(AND('Your debts'!$F$15&lt;&gt;"",'Your debts'!$F$7&lt;&gt;"",'Your debts'!$F$15&lt;'Your debts'!$F$7),BA211,0)))))</f>
        <v/>
      </c>
      <c r="O211" s="33">
        <f>M211-N211</f>
        <v/>
      </c>
      <c r="P211" s="33">
        <f>IF(T210&lt;=0,0,ROUND(T210*(1+'Your debts'!$D$8/1200),2))</f>
        <v/>
      </c>
      <c r="Q211" s="33">
        <f>IF(P211&lt;=0,0,MIN('Your debts'!$E$8,P211))</f>
        <v/>
      </c>
      <c r="R211" s="33">
        <f>P211-Q211</f>
        <v/>
      </c>
      <c r="S211" s="33">
        <f>IF('Your debts'!$F$8="",0,MIN(R211,MAX(0,MAX(0,'Your debts'!$C$19-(G211+L211+Q211+V211+AA211+AF211+AK211+AP211+AU211+AZ211))-(IF(AND('Your debts'!$F$6&lt;&gt;"",'Your debts'!$F$8&lt;&gt;"",'Your debts'!$F$6&lt;'Your debts'!$F$8),H211,0)+IF(AND('Your debts'!$F$7&lt;&gt;"",'Your debts'!$F$8&lt;&gt;"",'Your debts'!$F$7&lt;'Your debts'!$F$8),M211,0)+IF(AND('Your debts'!$F$9&lt;&gt;"",'Your debts'!$F$8&lt;&gt;"",'Your debts'!$F$9&lt;'Your debts'!$F$8),W211,0)+IF(AND('Your debts'!$F$10&lt;&gt;"",'Your debts'!$F$8&lt;&gt;"",'Your debts'!$F$10&lt;'Your debts'!$F$8),AB211,0)+IF(AND('Your debts'!$F$11&lt;&gt;"",'Your debts'!$F$8&lt;&gt;"",'Your debts'!$F$11&lt;'Your debts'!$F$8),AG211,0)+IF(AND('Your debts'!$F$12&lt;&gt;"",'Your debts'!$F$8&lt;&gt;"",'Your debts'!$F$12&lt;'Your debts'!$F$8),AL211,0)+IF(AND('Your debts'!$F$13&lt;&gt;"",'Your debts'!$F$8&lt;&gt;"",'Your debts'!$F$13&lt;'Your debts'!$F$8),AQ211,0)+IF(AND('Your debts'!$F$14&lt;&gt;"",'Your debts'!$F$8&lt;&gt;"",'Your debts'!$F$14&lt;'Your debts'!$F$8),AV211,0)+IF(AND('Your debts'!$F$15&lt;&gt;"",'Your debts'!$F$8&lt;&gt;"",'Your debts'!$F$15&lt;'Your debts'!$F$8),BA211,0)))))</f>
        <v/>
      </c>
      <c r="T211" s="33">
        <f>R211-S211</f>
        <v/>
      </c>
      <c r="U211" s="33">
        <f>IF(Y210&lt;=0,0,ROUND(Y210*(1+'Your debts'!$D$9/1200),2))</f>
        <v/>
      </c>
      <c r="V211" s="33">
        <f>IF(U211&lt;=0,0,MIN('Your debts'!$E$9,U211))</f>
        <v/>
      </c>
      <c r="W211" s="33">
        <f>U211-V211</f>
        <v/>
      </c>
      <c r="X211" s="33">
        <f>IF('Your debts'!$F$9="",0,MIN(W211,MAX(0,MAX(0,'Your debts'!$C$19-(G211+L211+Q211+V211+AA211+AF211+AK211+AP211+AU211+AZ211))-(IF(AND('Your debts'!$F$6&lt;&gt;"",'Your debts'!$F$9&lt;&gt;"",'Your debts'!$F$6&lt;'Your debts'!$F$9),H211,0)+IF(AND('Your debts'!$F$7&lt;&gt;"",'Your debts'!$F$9&lt;&gt;"",'Your debts'!$F$7&lt;'Your debts'!$F$9),M211,0)+IF(AND('Your debts'!$F$8&lt;&gt;"",'Your debts'!$F$9&lt;&gt;"",'Your debts'!$F$8&lt;'Your debts'!$F$9),R211,0)+IF(AND('Your debts'!$F$10&lt;&gt;"",'Your debts'!$F$9&lt;&gt;"",'Your debts'!$F$10&lt;'Your debts'!$F$9),AB211,0)+IF(AND('Your debts'!$F$11&lt;&gt;"",'Your debts'!$F$9&lt;&gt;"",'Your debts'!$F$11&lt;'Your debts'!$F$9),AG211,0)+IF(AND('Your debts'!$F$12&lt;&gt;"",'Your debts'!$F$9&lt;&gt;"",'Your debts'!$F$12&lt;'Your debts'!$F$9),AL211,0)+IF(AND('Your debts'!$F$13&lt;&gt;"",'Your debts'!$F$9&lt;&gt;"",'Your debts'!$F$13&lt;'Your debts'!$F$9),AQ211,0)+IF(AND('Your debts'!$F$14&lt;&gt;"",'Your debts'!$F$9&lt;&gt;"",'Your debts'!$F$14&lt;'Your debts'!$F$9),AV211,0)+IF(AND('Your debts'!$F$15&lt;&gt;"",'Your debts'!$F$9&lt;&gt;"",'Your debts'!$F$15&lt;'Your debts'!$F$9),BA211,0)))))</f>
        <v/>
      </c>
      <c r="Y211" s="33">
        <f>W211-X211</f>
        <v/>
      </c>
      <c r="Z211" s="33">
        <f>IF(AD210&lt;=0,0,ROUND(AD210*(1+'Your debts'!$D$10/1200),2))</f>
        <v/>
      </c>
      <c r="AA211" s="33">
        <f>IF(Z211&lt;=0,0,MIN('Your debts'!$E$10,Z211))</f>
        <v/>
      </c>
      <c r="AB211" s="33">
        <f>Z211-AA211</f>
        <v/>
      </c>
      <c r="AC211" s="33">
        <f>IF('Your debts'!$F$10="",0,MIN(AB211,MAX(0,MAX(0,'Your debts'!$C$19-(G211+L211+Q211+V211+AA211+AF211+AK211+AP211+AU211+AZ211))-(IF(AND('Your debts'!$F$6&lt;&gt;"",'Your debts'!$F$10&lt;&gt;"",'Your debts'!$F$6&lt;'Your debts'!$F$10),H211,0)+IF(AND('Your debts'!$F$7&lt;&gt;"",'Your debts'!$F$10&lt;&gt;"",'Your debts'!$F$7&lt;'Your debts'!$F$10),M211,0)+IF(AND('Your debts'!$F$8&lt;&gt;"",'Your debts'!$F$10&lt;&gt;"",'Your debts'!$F$8&lt;'Your debts'!$F$10),R211,0)+IF(AND('Your debts'!$F$9&lt;&gt;"",'Your debts'!$F$10&lt;&gt;"",'Your debts'!$F$9&lt;'Your debts'!$F$10),W211,0)+IF(AND('Your debts'!$F$11&lt;&gt;"",'Your debts'!$F$10&lt;&gt;"",'Your debts'!$F$11&lt;'Your debts'!$F$10),AG211,0)+IF(AND('Your debts'!$F$12&lt;&gt;"",'Your debts'!$F$10&lt;&gt;"",'Your debts'!$F$12&lt;'Your debts'!$F$10),AL211,0)+IF(AND('Your debts'!$F$13&lt;&gt;"",'Your debts'!$F$10&lt;&gt;"",'Your debts'!$F$13&lt;'Your debts'!$F$10),AQ211,0)+IF(AND('Your debts'!$F$14&lt;&gt;"",'Your debts'!$F$10&lt;&gt;"",'Your debts'!$F$14&lt;'Your debts'!$F$10),AV211,0)+IF(AND('Your debts'!$F$15&lt;&gt;"",'Your debts'!$F$10&lt;&gt;"",'Your debts'!$F$15&lt;'Your debts'!$F$10),BA211,0)))))</f>
        <v/>
      </c>
      <c r="AD211" s="33">
        <f>AB211-AC211</f>
        <v/>
      </c>
      <c r="AE211" s="33">
        <f>IF(AI210&lt;=0,0,ROUND(AI210*(1+'Your debts'!$D$11/1200),2))</f>
        <v/>
      </c>
      <c r="AF211" s="33">
        <f>IF(AE211&lt;=0,0,MIN('Your debts'!$E$11,AE211))</f>
        <v/>
      </c>
      <c r="AG211" s="33">
        <f>AE211-AF211</f>
        <v/>
      </c>
      <c r="AH211" s="33">
        <f>IF('Your debts'!$F$11="",0,MIN(AG211,MAX(0,MAX(0,'Your debts'!$C$19-(G211+L211+Q211+V211+AA211+AF211+AK211+AP211+AU211+AZ211))-(IF(AND('Your debts'!$F$6&lt;&gt;"",'Your debts'!$F$11&lt;&gt;"",'Your debts'!$F$6&lt;'Your debts'!$F$11),H211,0)+IF(AND('Your debts'!$F$7&lt;&gt;"",'Your debts'!$F$11&lt;&gt;"",'Your debts'!$F$7&lt;'Your debts'!$F$11),M211,0)+IF(AND('Your debts'!$F$8&lt;&gt;"",'Your debts'!$F$11&lt;&gt;"",'Your debts'!$F$8&lt;'Your debts'!$F$11),R211,0)+IF(AND('Your debts'!$F$9&lt;&gt;"",'Your debts'!$F$11&lt;&gt;"",'Your debts'!$F$9&lt;'Your debts'!$F$11),W211,0)+IF(AND('Your debts'!$F$10&lt;&gt;"",'Your debts'!$F$11&lt;&gt;"",'Your debts'!$F$10&lt;'Your debts'!$F$11),AB211,0)+IF(AND('Your debts'!$F$12&lt;&gt;"",'Your debts'!$F$11&lt;&gt;"",'Your debts'!$F$12&lt;'Your debts'!$F$11),AL211,0)+IF(AND('Your debts'!$F$13&lt;&gt;"",'Your debts'!$F$11&lt;&gt;"",'Your debts'!$F$13&lt;'Your debts'!$F$11),AQ211,0)+IF(AND('Your debts'!$F$14&lt;&gt;"",'Your debts'!$F$11&lt;&gt;"",'Your debts'!$F$14&lt;'Your debts'!$F$11),AV211,0)+IF(AND('Your debts'!$F$15&lt;&gt;"",'Your debts'!$F$11&lt;&gt;"",'Your debts'!$F$15&lt;'Your debts'!$F$11),BA211,0)))))</f>
        <v/>
      </c>
      <c r="AI211" s="33">
        <f>AG211-AH211</f>
        <v/>
      </c>
      <c r="AJ211" s="33">
        <f>IF(AN210&lt;=0,0,ROUND(AN210*(1+'Your debts'!$D$12/1200),2))</f>
        <v/>
      </c>
      <c r="AK211" s="33">
        <f>IF(AJ211&lt;=0,0,MIN('Your debts'!$E$12,AJ211))</f>
        <v/>
      </c>
      <c r="AL211" s="33">
        <f>AJ211-AK211</f>
        <v/>
      </c>
      <c r="AM211" s="33">
        <f>IF('Your debts'!$F$12="",0,MIN(AL211,MAX(0,MAX(0,'Your debts'!$C$19-(G211+L211+Q211+V211+AA211+AF211+AK211+AP211+AU211+AZ211))-(IF(AND('Your debts'!$F$6&lt;&gt;"",'Your debts'!$F$12&lt;&gt;"",'Your debts'!$F$6&lt;'Your debts'!$F$12),H211,0)+IF(AND('Your debts'!$F$7&lt;&gt;"",'Your debts'!$F$12&lt;&gt;"",'Your debts'!$F$7&lt;'Your debts'!$F$12),M211,0)+IF(AND('Your debts'!$F$8&lt;&gt;"",'Your debts'!$F$12&lt;&gt;"",'Your debts'!$F$8&lt;'Your debts'!$F$12),R211,0)+IF(AND('Your debts'!$F$9&lt;&gt;"",'Your debts'!$F$12&lt;&gt;"",'Your debts'!$F$9&lt;'Your debts'!$F$12),W211,0)+IF(AND('Your debts'!$F$10&lt;&gt;"",'Your debts'!$F$12&lt;&gt;"",'Your debts'!$F$10&lt;'Your debts'!$F$12),AB211,0)+IF(AND('Your debts'!$F$11&lt;&gt;"",'Your debts'!$F$12&lt;&gt;"",'Your debts'!$F$11&lt;'Your debts'!$F$12),AG211,0)+IF(AND('Your debts'!$F$13&lt;&gt;"",'Your debts'!$F$12&lt;&gt;"",'Your debts'!$F$13&lt;'Your debts'!$F$12),AQ211,0)+IF(AND('Your debts'!$F$14&lt;&gt;"",'Your debts'!$F$12&lt;&gt;"",'Your debts'!$F$14&lt;'Your debts'!$F$12),AV211,0)+IF(AND('Your debts'!$F$15&lt;&gt;"",'Your debts'!$F$12&lt;&gt;"",'Your debts'!$F$15&lt;'Your debts'!$F$12),BA211,0)))))</f>
        <v/>
      </c>
      <c r="AN211" s="33">
        <f>AL211-AM211</f>
        <v/>
      </c>
      <c r="AO211" s="33">
        <f>IF(AS210&lt;=0,0,ROUND(AS210*(1+'Your debts'!$D$13/1200),2))</f>
        <v/>
      </c>
      <c r="AP211" s="33">
        <f>IF(AO211&lt;=0,0,MIN('Your debts'!$E$13,AO211))</f>
        <v/>
      </c>
      <c r="AQ211" s="33">
        <f>AO211-AP211</f>
        <v/>
      </c>
      <c r="AR211" s="33">
        <f>IF('Your debts'!$F$13="",0,MIN(AQ211,MAX(0,MAX(0,'Your debts'!$C$19-(G211+L211+Q211+V211+AA211+AF211+AK211+AP211+AU211+AZ211))-(IF(AND('Your debts'!$F$6&lt;&gt;"",'Your debts'!$F$13&lt;&gt;"",'Your debts'!$F$6&lt;'Your debts'!$F$13),H211,0)+IF(AND('Your debts'!$F$7&lt;&gt;"",'Your debts'!$F$13&lt;&gt;"",'Your debts'!$F$7&lt;'Your debts'!$F$13),M211,0)+IF(AND('Your debts'!$F$8&lt;&gt;"",'Your debts'!$F$13&lt;&gt;"",'Your debts'!$F$8&lt;'Your debts'!$F$13),R211,0)+IF(AND('Your debts'!$F$9&lt;&gt;"",'Your debts'!$F$13&lt;&gt;"",'Your debts'!$F$9&lt;'Your debts'!$F$13),W211,0)+IF(AND('Your debts'!$F$10&lt;&gt;"",'Your debts'!$F$13&lt;&gt;"",'Your debts'!$F$10&lt;'Your debts'!$F$13),AB211,0)+IF(AND('Your debts'!$F$11&lt;&gt;"",'Your debts'!$F$13&lt;&gt;"",'Your debts'!$F$11&lt;'Your debts'!$F$13),AG211,0)+IF(AND('Your debts'!$F$12&lt;&gt;"",'Your debts'!$F$13&lt;&gt;"",'Your debts'!$F$12&lt;'Your debts'!$F$13),AL211,0)+IF(AND('Your debts'!$F$14&lt;&gt;"",'Your debts'!$F$13&lt;&gt;"",'Your debts'!$F$14&lt;'Your debts'!$F$13),AV211,0)+IF(AND('Your debts'!$F$15&lt;&gt;"",'Your debts'!$F$13&lt;&gt;"",'Your debts'!$F$15&lt;'Your debts'!$F$13),BA211,0)))))</f>
        <v/>
      </c>
      <c r="AS211" s="33">
        <f>AQ211-AR211</f>
        <v/>
      </c>
      <c r="AT211" s="33">
        <f>IF(AX210&lt;=0,0,ROUND(AX210*(1+'Your debts'!$D$14/1200),2))</f>
        <v/>
      </c>
      <c r="AU211" s="33">
        <f>IF(AT211&lt;=0,0,MIN('Your debts'!$E$14,AT211))</f>
        <v/>
      </c>
      <c r="AV211" s="33">
        <f>AT211-AU211</f>
        <v/>
      </c>
      <c r="AW211" s="33">
        <f>IF('Your debts'!$F$14="",0,MIN(AV211,MAX(0,MAX(0,'Your debts'!$C$19-(G211+L211+Q211+V211+AA211+AF211+AK211+AP211+AU211+AZ211))-(IF(AND('Your debts'!$F$6&lt;&gt;"",'Your debts'!$F$14&lt;&gt;"",'Your debts'!$F$6&lt;'Your debts'!$F$14),H211,0)+IF(AND('Your debts'!$F$7&lt;&gt;"",'Your debts'!$F$14&lt;&gt;"",'Your debts'!$F$7&lt;'Your debts'!$F$14),M211,0)+IF(AND('Your debts'!$F$8&lt;&gt;"",'Your debts'!$F$14&lt;&gt;"",'Your debts'!$F$8&lt;'Your debts'!$F$14),R211,0)+IF(AND('Your debts'!$F$9&lt;&gt;"",'Your debts'!$F$14&lt;&gt;"",'Your debts'!$F$9&lt;'Your debts'!$F$14),W211,0)+IF(AND('Your debts'!$F$10&lt;&gt;"",'Your debts'!$F$14&lt;&gt;"",'Your debts'!$F$10&lt;'Your debts'!$F$14),AB211,0)+IF(AND('Your debts'!$F$11&lt;&gt;"",'Your debts'!$F$14&lt;&gt;"",'Your debts'!$F$11&lt;'Your debts'!$F$14),AG211,0)+IF(AND('Your debts'!$F$12&lt;&gt;"",'Your debts'!$F$14&lt;&gt;"",'Your debts'!$F$12&lt;'Your debts'!$F$14),AL211,0)+IF(AND('Your debts'!$F$13&lt;&gt;"",'Your debts'!$F$14&lt;&gt;"",'Your debts'!$F$13&lt;'Your debts'!$F$14),AQ211,0)+IF(AND('Your debts'!$F$15&lt;&gt;"",'Your debts'!$F$14&lt;&gt;"",'Your debts'!$F$15&lt;'Your debts'!$F$14),BA211,0)))))</f>
        <v/>
      </c>
      <c r="AX211" s="33">
        <f>AV211-AW211</f>
        <v/>
      </c>
      <c r="AY211" s="33">
        <f>IF(BC210&lt;=0,0,ROUND(BC210*(1+'Your debts'!$D$15/1200),2))</f>
        <v/>
      </c>
      <c r="AZ211" s="33">
        <f>IF(AY211&lt;=0,0,MIN('Your debts'!$E$15,AY211))</f>
        <v/>
      </c>
      <c r="BA211" s="33">
        <f>AY211-AZ211</f>
        <v/>
      </c>
      <c r="BB211" s="33">
        <f>IF('Your debts'!$F$15="",0,MIN(BA211,MAX(0,MAX(0,'Your debts'!$C$19-(G211+L211+Q211+V211+AA211+AF211+AK211+AP211+AU211+AZ211))-(IF(AND('Your debts'!$F$6&lt;&gt;"",'Your debts'!$F$15&lt;&gt;"",'Your debts'!$F$6&lt;'Your debts'!$F$15),H211,0)+IF(AND('Your debts'!$F$7&lt;&gt;"",'Your debts'!$F$15&lt;&gt;"",'Your debts'!$F$7&lt;'Your debts'!$F$15),M211,0)+IF(AND('Your debts'!$F$8&lt;&gt;"",'Your debts'!$F$15&lt;&gt;"",'Your debts'!$F$8&lt;'Your debts'!$F$15),R211,0)+IF(AND('Your debts'!$F$9&lt;&gt;"",'Your debts'!$F$15&lt;&gt;"",'Your debts'!$F$9&lt;'Your debts'!$F$15),W211,0)+IF(AND('Your debts'!$F$10&lt;&gt;"",'Your debts'!$F$15&lt;&gt;"",'Your debts'!$F$10&lt;'Your debts'!$F$15),AB211,0)+IF(AND('Your debts'!$F$11&lt;&gt;"",'Your debts'!$F$15&lt;&gt;"",'Your debts'!$F$11&lt;'Your debts'!$F$15),AG211,0)+IF(AND('Your debts'!$F$12&lt;&gt;"",'Your debts'!$F$15&lt;&gt;"",'Your debts'!$F$12&lt;'Your debts'!$F$15),AL211,0)+IF(AND('Your debts'!$F$13&lt;&gt;"",'Your debts'!$F$15&lt;&gt;"",'Your debts'!$F$13&lt;'Your debts'!$F$15),AQ211,0)+IF(AND('Your debts'!$F$14&lt;&gt;"",'Your debts'!$F$15&lt;&gt;"",'Your debts'!$F$14&lt;'Your debts'!$F$15),AV211,0)))))</f>
        <v/>
      </c>
      <c r="BC211" s="33">
        <f>BA211-BB211</f>
        <v/>
      </c>
    </row>
    <row r="212">
      <c r="A212" s="30" t="n">
        <v>197</v>
      </c>
      <c r="B212" s="31">
        <f>EDATE($B$15,197)</f>
        <v/>
      </c>
      <c r="C212" s="32">
        <f>IF(J211&lt;=0,0,F212-J211)+IF(O211&lt;=0,0,K212-O211)+IF(T211&lt;=0,0,P212-T211)+IF(Y211&lt;=0,0,U212-Y211)+IF(AD211&lt;=0,0,Z212-AD211)+IF(AI211&lt;=0,0,AE212-AI211)+IF(AN211&lt;=0,0,AJ212-AN211)+IF(AS211&lt;=0,0,AO212-AS211)+IF(AX211&lt;=0,0,AT212-AX211)+IF(BC211&lt;=0,0,AY212-BC211)</f>
        <v/>
      </c>
      <c r="D212" s="32">
        <f>G212+I212+L212+N212+Q212+S212+V212+X212+AA212+AC212+AF212+AH212+AK212+AM212+AP212+AR212+AU212+AW212+AZ212+BB212</f>
        <v/>
      </c>
      <c r="E212" s="32">
        <f>J212+O212+T212+Y212+AD212+AI212+AN212+AS212+AX212+BC212</f>
        <v/>
      </c>
      <c r="F212" s="33">
        <f>IF(J211&lt;=0,0,ROUND(J211*(1+'Your debts'!$D$6/1200),2))</f>
        <v/>
      </c>
      <c r="G212" s="33">
        <f>IF(F212&lt;=0,0,MIN('Your debts'!$E$6,F212))</f>
        <v/>
      </c>
      <c r="H212" s="33">
        <f>F212-G212</f>
        <v/>
      </c>
      <c r="I212" s="33">
        <f>IF('Your debts'!$F$6="",0,MIN(H212,MAX(0,MAX(0,'Your debts'!$C$19-(G212+L212+Q212+V212+AA212+AF212+AK212+AP212+AU212+AZ212))-(IF(AND('Your debts'!$F$7&lt;&gt;"",'Your debts'!$F$6&lt;&gt;"",'Your debts'!$F$7&lt;'Your debts'!$F$6),M212,0)+IF(AND('Your debts'!$F$8&lt;&gt;"",'Your debts'!$F$6&lt;&gt;"",'Your debts'!$F$8&lt;'Your debts'!$F$6),R212,0)+IF(AND('Your debts'!$F$9&lt;&gt;"",'Your debts'!$F$6&lt;&gt;"",'Your debts'!$F$9&lt;'Your debts'!$F$6),W212,0)+IF(AND('Your debts'!$F$10&lt;&gt;"",'Your debts'!$F$6&lt;&gt;"",'Your debts'!$F$10&lt;'Your debts'!$F$6),AB212,0)+IF(AND('Your debts'!$F$11&lt;&gt;"",'Your debts'!$F$6&lt;&gt;"",'Your debts'!$F$11&lt;'Your debts'!$F$6),AG212,0)+IF(AND('Your debts'!$F$12&lt;&gt;"",'Your debts'!$F$6&lt;&gt;"",'Your debts'!$F$12&lt;'Your debts'!$F$6),AL212,0)+IF(AND('Your debts'!$F$13&lt;&gt;"",'Your debts'!$F$6&lt;&gt;"",'Your debts'!$F$13&lt;'Your debts'!$F$6),AQ212,0)+IF(AND('Your debts'!$F$14&lt;&gt;"",'Your debts'!$F$6&lt;&gt;"",'Your debts'!$F$14&lt;'Your debts'!$F$6),AV212,0)+IF(AND('Your debts'!$F$15&lt;&gt;"",'Your debts'!$F$6&lt;&gt;"",'Your debts'!$F$15&lt;'Your debts'!$F$6),BA212,0)))))</f>
        <v/>
      </c>
      <c r="J212" s="33">
        <f>H212-I212</f>
        <v/>
      </c>
      <c r="K212" s="33">
        <f>IF(O211&lt;=0,0,ROUND(O211*(1+'Your debts'!$D$7/1200),2))</f>
        <v/>
      </c>
      <c r="L212" s="33">
        <f>IF(K212&lt;=0,0,MIN('Your debts'!$E$7,K212))</f>
        <v/>
      </c>
      <c r="M212" s="33">
        <f>K212-L212</f>
        <v/>
      </c>
      <c r="N212" s="33">
        <f>IF('Your debts'!$F$7="",0,MIN(M212,MAX(0,MAX(0,'Your debts'!$C$19-(G212+L212+Q212+V212+AA212+AF212+AK212+AP212+AU212+AZ212))-(IF(AND('Your debts'!$F$6&lt;&gt;"",'Your debts'!$F$7&lt;&gt;"",'Your debts'!$F$6&lt;'Your debts'!$F$7),H212,0)+IF(AND('Your debts'!$F$8&lt;&gt;"",'Your debts'!$F$7&lt;&gt;"",'Your debts'!$F$8&lt;'Your debts'!$F$7),R212,0)+IF(AND('Your debts'!$F$9&lt;&gt;"",'Your debts'!$F$7&lt;&gt;"",'Your debts'!$F$9&lt;'Your debts'!$F$7),W212,0)+IF(AND('Your debts'!$F$10&lt;&gt;"",'Your debts'!$F$7&lt;&gt;"",'Your debts'!$F$10&lt;'Your debts'!$F$7),AB212,0)+IF(AND('Your debts'!$F$11&lt;&gt;"",'Your debts'!$F$7&lt;&gt;"",'Your debts'!$F$11&lt;'Your debts'!$F$7),AG212,0)+IF(AND('Your debts'!$F$12&lt;&gt;"",'Your debts'!$F$7&lt;&gt;"",'Your debts'!$F$12&lt;'Your debts'!$F$7),AL212,0)+IF(AND('Your debts'!$F$13&lt;&gt;"",'Your debts'!$F$7&lt;&gt;"",'Your debts'!$F$13&lt;'Your debts'!$F$7),AQ212,0)+IF(AND('Your debts'!$F$14&lt;&gt;"",'Your debts'!$F$7&lt;&gt;"",'Your debts'!$F$14&lt;'Your debts'!$F$7),AV212,0)+IF(AND('Your debts'!$F$15&lt;&gt;"",'Your debts'!$F$7&lt;&gt;"",'Your debts'!$F$15&lt;'Your debts'!$F$7),BA212,0)))))</f>
        <v/>
      </c>
      <c r="O212" s="33">
        <f>M212-N212</f>
        <v/>
      </c>
      <c r="P212" s="33">
        <f>IF(T211&lt;=0,0,ROUND(T211*(1+'Your debts'!$D$8/1200),2))</f>
        <v/>
      </c>
      <c r="Q212" s="33">
        <f>IF(P212&lt;=0,0,MIN('Your debts'!$E$8,P212))</f>
        <v/>
      </c>
      <c r="R212" s="33">
        <f>P212-Q212</f>
        <v/>
      </c>
      <c r="S212" s="33">
        <f>IF('Your debts'!$F$8="",0,MIN(R212,MAX(0,MAX(0,'Your debts'!$C$19-(G212+L212+Q212+V212+AA212+AF212+AK212+AP212+AU212+AZ212))-(IF(AND('Your debts'!$F$6&lt;&gt;"",'Your debts'!$F$8&lt;&gt;"",'Your debts'!$F$6&lt;'Your debts'!$F$8),H212,0)+IF(AND('Your debts'!$F$7&lt;&gt;"",'Your debts'!$F$8&lt;&gt;"",'Your debts'!$F$7&lt;'Your debts'!$F$8),M212,0)+IF(AND('Your debts'!$F$9&lt;&gt;"",'Your debts'!$F$8&lt;&gt;"",'Your debts'!$F$9&lt;'Your debts'!$F$8),W212,0)+IF(AND('Your debts'!$F$10&lt;&gt;"",'Your debts'!$F$8&lt;&gt;"",'Your debts'!$F$10&lt;'Your debts'!$F$8),AB212,0)+IF(AND('Your debts'!$F$11&lt;&gt;"",'Your debts'!$F$8&lt;&gt;"",'Your debts'!$F$11&lt;'Your debts'!$F$8),AG212,0)+IF(AND('Your debts'!$F$12&lt;&gt;"",'Your debts'!$F$8&lt;&gt;"",'Your debts'!$F$12&lt;'Your debts'!$F$8),AL212,0)+IF(AND('Your debts'!$F$13&lt;&gt;"",'Your debts'!$F$8&lt;&gt;"",'Your debts'!$F$13&lt;'Your debts'!$F$8),AQ212,0)+IF(AND('Your debts'!$F$14&lt;&gt;"",'Your debts'!$F$8&lt;&gt;"",'Your debts'!$F$14&lt;'Your debts'!$F$8),AV212,0)+IF(AND('Your debts'!$F$15&lt;&gt;"",'Your debts'!$F$8&lt;&gt;"",'Your debts'!$F$15&lt;'Your debts'!$F$8),BA212,0)))))</f>
        <v/>
      </c>
      <c r="T212" s="33">
        <f>R212-S212</f>
        <v/>
      </c>
      <c r="U212" s="33">
        <f>IF(Y211&lt;=0,0,ROUND(Y211*(1+'Your debts'!$D$9/1200),2))</f>
        <v/>
      </c>
      <c r="V212" s="33">
        <f>IF(U212&lt;=0,0,MIN('Your debts'!$E$9,U212))</f>
        <v/>
      </c>
      <c r="W212" s="33">
        <f>U212-V212</f>
        <v/>
      </c>
      <c r="X212" s="33">
        <f>IF('Your debts'!$F$9="",0,MIN(W212,MAX(0,MAX(0,'Your debts'!$C$19-(G212+L212+Q212+V212+AA212+AF212+AK212+AP212+AU212+AZ212))-(IF(AND('Your debts'!$F$6&lt;&gt;"",'Your debts'!$F$9&lt;&gt;"",'Your debts'!$F$6&lt;'Your debts'!$F$9),H212,0)+IF(AND('Your debts'!$F$7&lt;&gt;"",'Your debts'!$F$9&lt;&gt;"",'Your debts'!$F$7&lt;'Your debts'!$F$9),M212,0)+IF(AND('Your debts'!$F$8&lt;&gt;"",'Your debts'!$F$9&lt;&gt;"",'Your debts'!$F$8&lt;'Your debts'!$F$9),R212,0)+IF(AND('Your debts'!$F$10&lt;&gt;"",'Your debts'!$F$9&lt;&gt;"",'Your debts'!$F$10&lt;'Your debts'!$F$9),AB212,0)+IF(AND('Your debts'!$F$11&lt;&gt;"",'Your debts'!$F$9&lt;&gt;"",'Your debts'!$F$11&lt;'Your debts'!$F$9),AG212,0)+IF(AND('Your debts'!$F$12&lt;&gt;"",'Your debts'!$F$9&lt;&gt;"",'Your debts'!$F$12&lt;'Your debts'!$F$9),AL212,0)+IF(AND('Your debts'!$F$13&lt;&gt;"",'Your debts'!$F$9&lt;&gt;"",'Your debts'!$F$13&lt;'Your debts'!$F$9),AQ212,0)+IF(AND('Your debts'!$F$14&lt;&gt;"",'Your debts'!$F$9&lt;&gt;"",'Your debts'!$F$14&lt;'Your debts'!$F$9),AV212,0)+IF(AND('Your debts'!$F$15&lt;&gt;"",'Your debts'!$F$9&lt;&gt;"",'Your debts'!$F$15&lt;'Your debts'!$F$9),BA212,0)))))</f>
        <v/>
      </c>
      <c r="Y212" s="33">
        <f>W212-X212</f>
        <v/>
      </c>
      <c r="Z212" s="33">
        <f>IF(AD211&lt;=0,0,ROUND(AD211*(1+'Your debts'!$D$10/1200),2))</f>
        <v/>
      </c>
      <c r="AA212" s="33">
        <f>IF(Z212&lt;=0,0,MIN('Your debts'!$E$10,Z212))</f>
        <v/>
      </c>
      <c r="AB212" s="33">
        <f>Z212-AA212</f>
        <v/>
      </c>
      <c r="AC212" s="33">
        <f>IF('Your debts'!$F$10="",0,MIN(AB212,MAX(0,MAX(0,'Your debts'!$C$19-(G212+L212+Q212+V212+AA212+AF212+AK212+AP212+AU212+AZ212))-(IF(AND('Your debts'!$F$6&lt;&gt;"",'Your debts'!$F$10&lt;&gt;"",'Your debts'!$F$6&lt;'Your debts'!$F$10),H212,0)+IF(AND('Your debts'!$F$7&lt;&gt;"",'Your debts'!$F$10&lt;&gt;"",'Your debts'!$F$7&lt;'Your debts'!$F$10),M212,0)+IF(AND('Your debts'!$F$8&lt;&gt;"",'Your debts'!$F$10&lt;&gt;"",'Your debts'!$F$8&lt;'Your debts'!$F$10),R212,0)+IF(AND('Your debts'!$F$9&lt;&gt;"",'Your debts'!$F$10&lt;&gt;"",'Your debts'!$F$9&lt;'Your debts'!$F$10),W212,0)+IF(AND('Your debts'!$F$11&lt;&gt;"",'Your debts'!$F$10&lt;&gt;"",'Your debts'!$F$11&lt;'Your debts'!$F$10),AG212,0)+IF(AND('Your debts'!$F$12&lt;&gt;"",'Your debts'!$F$10&lt;&gt;"",'Your debts'!$F$12&lt;'Your debts'!$F$10),AL212,0)+IF(AND('Your debts'!$F$13&lt;&gt;"",'Your debts'!$F$10&lt;&gt;"",'Your debts'!$F$13&lt;'Your debts'!$F$10),AQ212,0)+IF(AND('Your debts'!$F$14&lt;&gt;"",'Your debts'!$F$10&lt;&gt;"",'Your debts'!$F$14&lt;'Your debts'!$F$10),AV212,0)+IF(AND('Your debts'!$F$15&lt;&gt;"",'Your debts'!$F$10&lt;&gt;"",'Your debts'!$F$15&lt;'Your debts'!$F$10),BA212,0)))))</f>
        <v/>
      </c>
      <c r="AD212" s="33">
        <f>AB212-AC212</f>
        <v/>
      </c>
      <c r="AE212" s="33">
        <f>IF(AI211&lt;=0,0,ROUND(AI211*(1+'Your debts'!$D$11/1200),2))</f>
        <v/>
      </c>
      <c r="AF212" s="33">
        <f>IF(AE212&lt;=0,0,MIN('Your debts'!$E$11,AE212))</f>
        <v/>
      </c>
      <c r="AG212" s="33">
        <f>AE212-AF212</f>
        <v/>
      </c>
      <c r="AH212" s="33">
        <f>IF('Your debts'!$F$11="",0,MIN(AG212,MAX(0,MAX(0,'Your debts'!$C$19-(G212+L212+Q212+V212+AA212+AF212+AK212+AP212+AU212+AZ212))-(IF(AND('Your debts'!$F$6&lt;&gt;"",'Your debts'!$F$11&lt;&gt;"",'Your debts'!$F$6&lt;'Your debts'!$F$11),H212,0)+IF(AND('Your debts'!$F$7&lt;&gt;"",'Your debts'!$F$11&lt;&gt;"",'Your debts'!$F$7&lt;'Your debts'!$F$11),M212,0)+IF(AND('Your debts'!$F$8&lt;&gt;"",'Your debts'!$F$11&lt;&gt;"",'Your debts'!$F$8&lt;'Your debts'!$F$11),R212,0)+IF(AND('Your debts'!$F$9&lt;&gt;"",'Your debts'!$F$11&lt;&gt;"",'Your debts'!$F$9&lt;'Your debts'!$F$11),W212,0)+IF(AND('Your debts'!$F$10&lt;&gt;"",'Your debts'!$F$11&lt;&gt;"",'Your debts'!$F$10&lt;'Your debts'!$F$11),AB212,0)+IF(AND('Your debts'!$F$12&lt;&gt;"",'Your debts'!$F$11&lt;&gt;"",'Your debts'!$F$12&lt;'Your debts'!$F$11),AL212,0)+IF(AND('Your debts'!$F$13&lt;&gt;"",'Your debts'!$F$11&lt;&gt;"",'Your debts'!$F$13&lt;'Your debts'!$F$11),AQ212,0)+IF(AND('Your debts'!$F$14&lt;&gt;"",'Your debts'!$F$11&lt;&gt;"",'Your debts'!$F$14&lt;'Your debts'!$F$11),AV212,0)+IF(AND('Your debts'!$F$15&lt;&gt;"",'Your debts'!$F$11&lt;&gt;"",'Your debts'!$F$15&lt;'Your debts'!$F$11),BA212,0)))))</f>
        <v/>
      </c>
      <c r="AI212" s="33">
        <f>AG212-AH212</f>
        <v/>
      </c>
      <c r="AJ212" s="33">
        <f>IF(AN211&lt;=0,0,ROUND(AN211*(1+'Your debts'!$D$12/1200),2))</f>
        <v/>
      </c>
      <c r="AK212" s="33">
        <f>IF(AJ212&lt;=0,0,MIN('Your debts'!$E$12,AJ212))</f>
        <v/>
      </c>
      <c r="AL212" s="33">
        <f>AJ212-AK212</f>
        <v/>
      </c>
      <c r="AM212" s="33">
        <f>IF('Your debts'!$F$12="",0,MIN(AL212,MAX(0,MAX(0,'Your debts'!$C$19-(G212+L212+Q212+V212+AA212+AF212+AK212+AP212+AU212+AZ212))-(IF(AND('Your debts'!$F$6&lt;&gt;"",'Your debts'!$F$12&lt;&gt;"",'Your debts'!$F$6&lt;'Your debts'!$F$12),H212,0)+IF(AND('Your debts'!$F$7&lt;&gt;"",'Your debts'!$F$12&lt;&gt;"",'Your debts'!$F$7&lt;'Your debts'!$F$12),M212,0)+IF(AND('Your debts'!$F$8&lt;&gt;"",'Your debts'!$F$12&lt;&gt;"",'Your debts'!$F$8&lt;'Your debts'!$F$12),R212,0)+IF(AND('Your debts'!$F$9&lt;&gt;"",'Your debts'!$F$12&lt;&gt;"",'Your debts'!$F$9&lt;'Your debts'!$F$12),W212,0)+IF(AND('Your debts'!$F$10&lt;&gt;"",'Your debts'!$F$12&lt;&gt;"",'Your debts'!$F$10&lt;'Your debts'!$F$12),AB212,0)+IF(AND('Your debts'!$F$11&lt;&gt;"",'Your debts'!$F$12&lt;&gt;"",'Your debts'!$F$11&lt;'Your debts'!$F$12),AG212,0)+IF(AND('Your debts'!$F$13&lt;&gt;"",'Your debts'!$F$12&lt;&gt;"",'Your debts'!$F$13&lt;'Your debts'!$F$12),AQ212,0)+IF(AND('Your debts'!$F$14&lt;&gt;"",'Your debts'!$F$12&lt;&gt;"",'Your debts'!$F$14&lt;'Your debts'!$F$12),AV212,0)+IF(AND('Your debts'!$F$15&lt;&gt;"",'Your debts'!$F$12&lt;&gt;"",'Your debts'!$F$15&lt;'Your debts'!$F$12),BA212,0)))))</f>
        <v/>
      </c>
      <c r="AN212" s="33">
        <f>AL212-AM212</f>
        <v/>
      </c>
      <c r="AO212" s="33">
        <f>IF(AS211&lt;=0,0,ROUND(AS211*(1+'Your debts'!$D$13/1200),2))</f>
        <v/>
      </c>
      <c r="AP212" s="33">
        <f>IF(AO212&lt;=0,0,MIN('Your debts'!$E$13,AO212))</f>
        <v/>
      </c>
      <c r="AQ212" s="33">
        <f>AO212-AP212</f>
        <v/>
      </c>
      <c r="AR212" s="33">
        <f>IF('Your debts'!$F$13="",0,MIN(AQ212,MAX(0,MAX(0,'Your debts'!$C$19-(G212+L212+Q212+V212+AA212+AF212+AK212+AP212+AU212+AZ212))-(IF(AND('Your debts'!$F$6&lt;&gt;"",'Your debts'!$F$13&lt;&gt;"",'Your debts'!$F$6&lt;'Your debts'!$F$13),H212,0)+IF(AND('Your debts'!$F$7&lt;&gt;"",'Your debts'!$F$13&lt;&gt;"",'Your debts'!$F$7&lt;'Your debts'!$F$13),M212,0)+IF(AND('Your debts'!$F$8&lt;&gt;"",'Your debts'!$F$13&lt;&gt;"",'Your debts'!$F$8&lt;'Your debts'!$F$13),R212,0)+IF(AND('Your debts'!$F$9&lt;&gt;"",'Your debts'!$F$13&lt;&gt;"",'Your debts'!$F$9&lt;'Your debts'!$F$13),W212,0)+IF(AND('Your debts'!$F$10&lt;&gt;"",'Your debts'!$F$13&lt;&gt;"",'Your debts'!$F$10&lt;'Your debts'!$F$13),AB212,0)+IF(AND('Your debts'!$F$11&lt;&gt;"",'Your debts'!$F$13&lt;&gt;"",'Your debts'!$F$11&lt;'Your debts'!$F$13),AG212,0)+IF(AND('Your debts'!$F$12&lt;&gt;"",'Your debts'!$F$13&lt;&gt;"",'Your debts'!$F$12&lt;'Your debts'!$F$13),AL212,0)+IF(AND('Your debts'!$F$14&lt;&gt;"",'Your debts'!$F$13&lt;&gt;"",'Your debts'!$F$14&lt;'Your debts'!$F$13),AV212,0)+IF(AND('Your debts'!$F$15&lt;&gt;"",'Your debts'!$F$13&lt;&gt;"",'Your debts'!$F$15&lt;'Your debts'!$F$13),BA212,0)))))</f>
        <v/>
      </c>
      <c r="AS212" s="33">
        <f>AQ212-AR212</f>
        <v/>
      </c>
      <c r="AT212" s="33">
        <f>IF(AX211&lt;=0,0,ROUND(AX211*(1+'Your debts'!$D$14/1200),2))</f>
        <v/>
      </c>
      <c r="AU212" s="33">
        <f>IF(AT212&lt;=0,0,MIN('Your debts'!$E$14,AT212))</f>
        <v/>
      </c>
      <c r="AV212" s="33">
        <f>AT212-AU212</f>
        <v/>
      </c>
      <c r="AW212" s="33">
        <f>IF('Your debts'!$F$14="",0,MIN(AV212,MAX(0,MAX(0,'Your debts'!$C$19-(G212+L212+Q212+V212+AA212+AF212+AK212+AP212+AU212+AZ212))-(IF(AND('Your debts'!$F$6&lt;&gt;"",'Your debts'!$F$14&lt;&gt;"",'Your debts'!$F$6&lt;'Your debts'!$F$14),H212,0)+IF(AND('Your debts'!$F$7&lt;&gt;"",'Your debts'!$F$14&lt;&gt;"",'Your debts'!$F$7&lt;'Your debts'!$F$14),M212,0)+IF(AND('Your debts'!$F$8&lt;&gt;"",'Your debts'!$F$14&lt;&gt;"",'Your debts'!$F$8&lt;'Your debts'!$F$14),R212,0)+IF(AND('Your debts'!$F$9&lt;&gt;"",'Your debts'!$F$14&lt;&gt;"",'Your debts'!$F$9&lt;'Your debts'!$F$14),W212,0)+IF(AND('Your debts'!$F$10&lt;&gt;"",'Your debts'!$F$14&lt;&gt;"",'Your debts'!$F$10&lt;'Your debts'!$F$14),AB212,0)+IF(AND('Your debts'!$F$11&lt;&gt;"",'Your debts'!$F$14&lt;&gt;"",'Your debts'!$F$11&lt;'Your debts'!$F$14),AG212,0)+IF(AND('Your debts'!$F$12&lt;&gt;"",'Your debts'!$F$14&lt;&gt;"",'Your debts'!$F$12&lt;'Your debts'!$F$14),AL212,0)+IF(AND('Your debts'!$F$13&lt;&gt;"",'Your debts'!$F$14&lt;&gt;"",'Your debts'!$F$13&lt;'Your debts'!$F$14),AQ212,0)+IF(AND('Your debts'!$F$15&lt;&gt;"",'Your debts'!$F$14&lt;&gt;"",'Your debts'!$F$15&lt;'Your debts'!$F$14),BA212,0)))))</f>
        <v/>
      </c>
      <c r="AX212" s="33">
        <f>AV212-AW212</f>
        <v/>
      </c>
      <c r="AY212" s="33">
        <f>IF(BC211&lt;=0,0,ROUND(BC211*(1+'Your debts'!$D$15/1200),2))</f>
        <v/>
      </c>
      <c r="AZ212" s="33">
        <f>IF(AY212&lt;=0,0,MIN('Your debts'!$E$15,AY212))</f>
        <v/>
      </c>
      <c r="BA212" s="33">
        <f>AY212-AZ212</f>
        <v/>
      </c>
      <c r="BB212" s="33">
        <f>IF('Your debts'!$F$15="",0,MIN(BA212,MAX(0,MAX(0,'Your debts'!$C$19-(G212+L212+Q212+V212+AA212+AF212+AK212+AP212+AU212+AZ212))-(IF(AND('Your debts'!$F$6&lt;&gt;"",'Your debts'!$F$15&lt;&gt;"",'Your debts'!$F$6&lt;'Your debts'!$F$15),H212,0)+IF(AND('Your debts'!$F$7&lt;&gt;"",'Your debts'!$F$15&lt;&gt;"",'Your debts'!$F$7&lt;'Your debts'!$F$15),M212,0)+IF(AND('Your debts'!$F$8&lt;&gt;"",'Your debts'!$F$15&lt;&gt;"",'Your debts'!$F$8&lt;'Your debts'!$F$15),R212,0)+IF(AND('Your debts'!$F$9&lt;&gt;"",'Your debts'!$F$15&lt;&gt;"",'Your debts'!$F$9&lt;'Your debts'!$F$15),W212,0)+IF(AND('Your debts'!$F$10&lt;&gt;"",'Your debts'!$F$15&lt;&gt;"",'Your debts'!$F$10&lt;'Your debts'!$F$15),AB212,0)+IF(AND('Your debts'!$F$11&lt;&gt;"",'Your debts'!$F$15&lt;&gt;"",'Your debts'!$F$11&lt;'Your debts'!$F$15),AG212,0)+IF(AND('Your debts'!$F$12&lt;&gt;"",'Your debts'!$F$15&lt;&gt;"",'Your debts'!$F$12&lt;'Your debts'!$F$15),AL212,0)+IF(AND('Your debts'!$F$13&lt;&gt;"",'Your debts'!$F$15&lt;&gt;"",'Your debts'!$F$13&lt;'Your debts'!$F$15),AQ212,0)+IF(AND('Your debts'!$F$14&lt;&gt;"",'Your debts'!$F$15&lt;&gt;"",'Your debts'!$F$14&lt;'Your debts'!$F$15),AV212,0)))))</f>
        <v/>
      </c>
      <c r="BC212" s="33">
        <f>BA212-BB212</f>
        <v/>
      </c>
    </row>
    <row r="213">
      <c r="A213" s="30" t="n">
        <v>198</v>
      </c>
      <c r="B213" s="31">
        <f>EDATE($B$15,198)</f>
        <v/>
      </c>
      <c r="C213" s="32">
        <f>IF(J212&lt;=0,0,F213-J212)+IF(O212&lt;=0,0,K213-O212)+IF(T212&lt;=0,0,P213-T212)+IF(Y212&lt;=0,0,U213-Y212)+IF(AD212&lt;=0,0,Z213-AD212)+IF(AI212&lt;=0,0,AE213-AI212)+IF(AN212&lt;=0,0,AJ213-AN212)+IF(AS212&lt;=0,0,AO213-AS212)+IF(AX212&lt;=0,0,AT213-AX212)+IF(BC212&lt;=0,0,AY213-BC212)</f>
        <v/>
      </c>
      <c r="D213" s="32">
        <f>G213+I213+L213+N213+Q213+S213+V213+X213+AA213+AC213+AF213+AH213+AK213+AM213+AP213+AR213+AU213+AW213+AZ213+BB213</f>
        <v/>
      </c>
      <c r="E213" s="32">
        <f>J213+O213+T213+Y213+AD213+AI213+AN213+AS213+AX213+BC213</f>
        <v/>
      </c>
      <c r="F213" s="33">
        <f>IF(J212&lt;=0,0,ROUND(J212*(1+'Your debts'!$D$6/1200),2))</f>
        <v/>
      </c>
      <c r="G213" s="33">
        <f>IF(F213&lt;=0,0,MIN('Your debts'!$E$6,F213))</f>
        <v/>
      </c>
      <c r="H213" s="33">
        <f>F213-G213</f>
        <v/>
      </c>
      <c r="I213" s="33">
        <f>IF('Your debts'!$F$6="",0,MIN(H213,MAX(0,MAX(0,'Your debts'!$C$19-(G213+L213+Q213+V213+AA213+AF213+AK213+AP213+AU213+AZ213))-(IF(AND('Your debts'!$F$7&lt;&gt;"",'Your debts'!$F$6&lt;&gt;"",'Your debts'!$F$7&lt;'Your debts'!$F$6),M213,0)+IF(AND('Your debts'!$F$8&lt;&gt;"",'Your debts'!$F$6&lt;&gt;"",'Your debts'!$F$8&lt;'Your debts'!$F$6),R213,0)+IF(AND('Your debts'!$F$9&lt;&gt;"",'Your debts'!$F$6&lt;&gt;"",'Your debts'!$F$9&lt;'Your debts'!$F$6),W213,0)+IF(AND('Your debts'!$F$10&lt;&gt;"",'Your debts'!$F$6&lt;&gt;"",'Your debts'!$F$10&lt;'Your debts'!$F$6),AB213,0)+IF(AND('Your debts'!$F$11&lt;&gt;"",'Your debts'!$F$6&lt;&gt;"",'Your debts'!$F$11&lt;'Your debts'!$F$6),AG213,0)+IF(AND('Your debts'!$F$12&lt;&gt;"",'Your debts'!$F$6&lt;&gt;"",'Your debts'!$F$12&lt;'Your debts'!$F$6),AL213,0)+IF(AND('Your debts'!$F$13&lt;&gt;"",'Your debts'!$F$6&lt;&gt;"",'Your debts'!$F$13&lt;'Your debts'!$F$6),AQ213,0)+IF(AND('Your debts'!$F$14&lt;&gt;"",'Your debts'!$F$6&lt;&gt;"",'Your debts'!$F$14&lt;'Your debts'!$F$6),AV213,0)+IF(AND('Your debts'!$F$15&lt;&gt;"",'Your debts'!$F$6&lt;&gt;"",'Your debts'!$F$15&lt;'Your debts'!$F$6),BA213,0)))))</f>
        <v/>
      </c>
      <c r="J213" s="33">
        <f>H213-I213</f>
        <v/>
      </c>
      <c r="K213" s="33">
        <f>IF(O212&lt;=0,0,ROUND(O212*(1+'Your debts'!$D$7/1200),2))</f>
        <v/>
      </c>
      <c r="L213" s="33">
        <f>IF(K213&lt;=0,0,MIN('Your debts'!$E$7,K213))</f>
        <v/>
      </c>
      <c r="M213" s="33">
        <f>K213-L213</f>
        <v/>
      </c>
      <c r="N213" s="33">
        <f>IF('Your debts'!$F$7="",0,MIN(M213,MAX(0,MAX(0,'Your debts'!$C$19-(G213+L213+Q213+V213+AA213+AF213+AK213+AP213+AU213+AZ213))-(IF(AND('Your debts'!$F$6&lt;&gt;"",'Your debts'!$F$7&lt;&gt;"",'Your debts'!$F$6&lt;'Your debts'!$F$7),H213,0)+IF(AND('Your debts'!$F$8&lt;&gt;"",'Your debts'!$F$7&lt;&gt;"",'Your debts'!$F$8&lt;'Your debts'!$F$7),R213,0)+IF(AND('Your debts'!$F$9&lt;&gt;"",'Your debts'!$F$7&lt;&gt;"",'Your debts'!$F$9&lt;'Your debts'!$F$7),W213,0)+IF(AND('Your debts'!$F$10&lt;&gt;"",'Your debts'!$F$7&lt;&gt;"",'Your debts'!$F$10&lt;'Your debts'!$F$7),AB213,0)+IF(AND('Your debts'!$F$11&lt;&gt;"",'Your debts'!$F$7&lt;&gt;"",'Your debts'!$F$11&lt;'Your debts'!$F$7),AG213,0)+IF(AND('Your debts'!$F$12&lt;&gt;"",'Your debts'!$F$7&lt;&gt;"",'Your debts'!$F$12&lt;'Your debts'!$F$7),AL213,0)+IF(AND('Your debts'!$F$13&lt;&gt;"",'Your debts'!$F$7&lt;&gt;"",'Your debts'!$F$13&lt;'Your debts'!$F$7),AQ213,0)+IF(AND('Your debts'!$F$14&lt;&gt;"",'Your debts'!$F$7&lt;&gt;"",'Your debts'!$F$14&lt;'Your debts'!$F$7),AV213,0)+IF(AND('Your debts'!$F$15&lt;&gt;"",'Your debts'!$F$7&lt;&gt;"",'Your debts'!$F$15&lt;'Your debts'!$F$7),BA213,0)))))</f>
        <v/>
      </c>
      <c r="O213" s="33">
        <f>M213-N213</f>
        <v/>
      </c>
      <c r="P213" s="33">
        <f>IF(T212&lt;=0,0,ROUND(T212*(1+'Your debts'!$D$8/1200),2))</f>
        <v/>
      </c>
      <c r="Q213" s="33">
        <f>IF(P213&lt;=0,0,MIN('Your debts'!$E$8,P213))</f>
        <v/>
      </c>
      <c r="R213" s="33">
        <f>P213-Q213</f>
        <v/>
      </c>
      <c r="S213" s="33">
        <f>IF('Your debts'!$F$8="",0,MIN(R213,MAX(0,MAX(0,'Your debts'!$C$19-(G213+L213+Q213+V213+AA213+AF213+AK213+AP213+AU213+AZ213))-(IF(AND('Your debts'!$F$6&lt;&gt;"",'Your debts'!$F$8&lt;&gt;"",'Your debts'!$F$6&lt;'Your debts'!$F$8),H213,0)+IF(AND('Your debts'!$F$7&lt;&gt;"",'Your debts'!$F$8&lt;&gt;"",'Your debts'!$F$7&lt;'Your debts'!$F$8),M213,0)+IF(AND('Your debts'!$F$9&lt;&gt;"",'Your debts'!$F$8&lt;&gt;"",'Your debts'!$F$9&lt;'Your debts'!$F$8),W213,0)+IF(AND('Your debts'!$F$10&lt;&gt;"",'Your debts'!$F$8&lt;&gt;"",'Your debts'!$F$10&lt;'Your debts'!$F$8),AB213,0)+IF(AND('Your debts'!$F$11&lt;&gt;"",'Your debts'!$F$8&lt;&gt;"",'Your debts'!$F$11&lt;'Your debts'!$F$8),AG213,0)+IF(AND('Your debts'!$F$12&lt;&gt;"",'Your debts'!$F$8&lt;&gt;"",'Your debts'!$F$12&lt;'Your debts'!$F$8),AL213,0)+IF(AND('Your debts'!$F$13&lt;&gt;"",'Your debts'!$F$8&lt;&gt;"",'Your debts'!$F$13&lt;'Your debts'!$F$8),AQ213,0)+IF(AND('Your debts'!$F$14&lt;&gt;"",'Your debts'!$F$8&lt;&gt;"",'Your debts'!$F$14&lt;'Your debts'!$F$8),AV213,0)+IF(AND('Your debts'!$F$15&lt;&gt;"",'Your debts'!$F$8&lt;&gt;"",'Your debts'!$F$15&lt;'Your debts'!$F$8),BA213,0)))))</f>
        <v/>
      </c>
      <c r="T213" s="33">
        <f>R213-S213</f>
        <v/>
      </c>
      <c r="U213" s="33">
        <f>IF(Y212&lt;=0,0,ROUND(Y212*(1+'Your debts'!$D$9/1200),2))</f>
        <v/>
      </c>
      <c r="V213" s="33">
        <f>IF(U213&lt;=0,0,MIN('Your debts'!$E$9,U213))</f>
        <v/>
      </c>
      <c r="W213" s="33">
        <f>U213-V213</f>
        <v/>
      </c>
      <c r="X213" s="33">
        <f>IF('Your debts'!$F$9="",0,MIN(W213,MAX(0,MAX(0,'Your debts'!$C$19-(G213+L213+Q213+V213+AA213+AF213+AK213+AP213+AU213+AZ213))-(IF(AND('Your debts'!$F$6&lt;&gt;"",'Your debts'!$F$9&lt;&gt;"",'Your debts'!$F$6&lt;'Your debts'!$F$9),H213,0)+IF(AND('Your debts'!$F$7&lt;&gt;"",'Your debts'!$F$9&lt;&gt;"",'Your debts'!$F$7&lt;'Your debts'!$F$9),M213,0)+IF(AND('Your debts'!$F$8&lt;&gt;"",'Your debts'!$F$9&lt;&gt;"",'Your debts'!$F$8&lt;'Your debts'!$F$9),R213,0)+IF(AND('Your debts'!$F$10&lt;&gt;"",'Your debts'!$F$9&lt;&gt;"",'Your debts'!$F$10&lt;'Your debts'!$F$9),AB213,0)+IF(AND('Your debts'!$F$11&lt;&gt;"",'Your debts'!$F$9&lt;&gt;"",'Your debts'!$F$11&lt;'Your debts'!$F$9),AG213,0)+IF(AND('Your debts'!$F$12&lt;&gt;"",'Your debts'!$F$9&lt;&gt;"",'Your debts'!$F$12&lt;'Your debts'!$F$9),AL213,0)+IF(AND('Your debts'!$F$13&lt;&gt;"",'Your debts'!$F$9&lt;&gt;"",'Your debts'!$F$13&lt;'Your debts'!$F$9),AQ213,0)+IF(AND('Your debts'!$F$14&lt;&gt;"",'Your debts'!$F$9&lt;&gt;"",'Your debts'!$F$14&lt;'Your debts'!$F$9),AV213,0)+IF(AND('Your debts'!$F$15&lt;&gt;"",'Your debts'!$F$9&lt;&gt;"",'Your debts'!$F$15&lt;'Your debts'!$F$9),BA213,0)))))</f>
        <v/>
      </c>
      <c r="Y213" s="33">
        <f>W213-X213</f>
        <v/>
      </c>
      <c r="Z213" s="33">
        <f>IF(AD212&lt;=0,0,ROUND(AD212*(1+'Your debts'!$D$10/1200),2))</f>
        <v/>
      </c>
      <c r="AA213" s="33">
        <f>IF(Z213&lt;=0,0,MIN('Your debts'!$E$10,Z213))</f>
        <v/>
      </c>
      <c r="AB213" s="33">
        <f>Z213-AA213</f>
        <v/>
      </c>
      <c r="AC213" s="33">
        <f>IF('Your debts'!$F$10="",0,MIN(AB213,MAX(0,MAX(0,'Your debts'!$C$19-(G213+L213+Q213+V213+AA213+AF213+AK213+AP213+AU213+AZ213))-(IF(AND('Your debts'!$F$6&lt;&gt;"",'Your debts'!$F$10&lt;&gt;"",'Your debts'!$F$6&lt;'Your debts'!$F$10),H213,0)+IF(AND('Your debts'!$F$7&lt;&gt;"",'Your debts'!$F$10&lt;&gt;"",'Your debts'!$F$7&lt;'Your debts'!$F$10),M213,0)+IF(AND('Your debts'!$F$8&lt;&gt;"",'Your debts'!$F$10&lt;&gt;"",'Your debts'!$F$8&lt;'Your debts'!$F$10),R213,0)+IF(AND('Your debts'!$F$9&lt;&gt;"",'Your debts'!$F$10&lt;&gt;"",'Your debts'!$F$9&lt;'Your debts'!$F$10),W213,0)+IF(AND('Your debts'!$F$11&lt;&gt;"",'Your debts'!$F$10&lt;&gt;"",'Your debts'!$F$11&lt;'Your debts'!$F$10),AG213,0)+IF(AND('Your debts'!$F$12&lt;&gt;"",'Your debts'!$F$10&lt;&gt;"",'Your debts'!$F$12&lt;'Your debts'!$F$10),AL213,0)+IF(AND('Your debts'!$F$13&lt;&gt;"",'Your debts'!$F$10&lt;&gt;"",'Your debts'!$F$13&lt;'Your debts'!$F$10),AQ213,0)+IF(AND('Your debts'!$F$14&lt;&gt;"",'Your debts'!$F$10&lt;&gt;"",'Your debts'!$F$14&lt;'Your debts'!$F$10),AV213,0)+IF(AND('Your debts'!$F$15&lt;&gt;"",'Your debts'!$F$10&lt;&gt;"",'Your debts'!$F$15&lt;'Your debts'!$F$10),BA213,0)))))</f>
        <v/>
      </c>
      <c r="AD213" s="33">
        <f>AB213-AC213</f>
        <v/>
      </c>
      <c r="AE213" s="33">
        <f>IF(AI212&lt;=0,0,ROUND(AI212*(1+'Your debts'!$D$11/1200),2))</f>
        <v/>
      </c>
      <c r="AF213" s="33">
        <f>IF(AE213&lt;=0,0,MIN('Your debts'!$E$11,AE213))</f>
        <v/>
      </c>
      <c r="AG213" s="33">
        <f>AE213-AF213</f>
        <v/>
      </c>
      <c r="AH213" s="33">
        <f>IF('Your debts'!$F$11="",0,MIN(AG213,MAX(0,MAX(0,'Your debts'!$C$19-(G213+L213+Q213+V213+AA213+AF213+AK213+AP213+AU213+AZ213))-(IF(AND('Your debts'!$F$6&lt;&gt;"",'Your debts'!$F$11&lt;&gt;"",'Your debts'!$F$6&lt;'Your debts'!$F$11),H213,0)+IF(AND('Your debts'!$F$7&lt;&gt;"",'Your debts'!$F$11&lt;&gt;"",'Your debts'!$F$7&lt;'Your debts'!$F$11),M213,0)+IF(AND('Your debts'!$F$8&lt;&gt;"",'Your debts'!$F$11&lt;&gt;"",'Your debts'!$F$8&lt;'Your debts'!$F$11),R213,0)+IF(AND('Your debts'!$F$9&lt;&gt;"",'Your debts'!$F$11&lt;&gt;"",'Your debts'!$F$9&lt;'Your debts'!$F$11),W213,0)+IF(AND('Your debts'!$F$10&lt;&gt;"",'Your debts'!$F$11&lt;&gt;"",'Your debts'!$F$10&lt;'Your debts'!$F$11),AB213,0)+IF(AND('Your debts'!$F$12&lt;&gt;"",'Your debts'!$F$11&lt;&gt;"",'Your debts'!$F$12&lt;'Your debts'!$F$11),AL213,0)+IF(AND('Your debts'!$F$13&lt;&gt;"",'Your debts'!$F$11&lt;&gt;"",'Your debts'!$F$13&lt;'Your debts'!$F$11),AQ213,0)+IF(AND('Your debts'!$F$14&lt;&gt;"",'Your debts'!$F$11&lt;&gt;"",'Your debts'!$F$14&lt;'Your debts'!$F$11),AV213,0)+IF(AND('Your debts'!$F$15&lt;&gt;"",'Your debts'!$F$11&lt;&gt;"",'Your debts'!$F$15&lt;'Your debts'!$F$11),BA213,0)))))</f>
        <v/>
      </c>
      <c r="AI213" s="33">
        <f>AG213-AH213</f>
        <v/>
      </c>
      <c r="AJ213" s="33">
        <f>IF(AN212&lt;=0,0,ROUND(AN212*(1+'Your debts'!$D$12/1200),2))</f>
        <v/>
      </c>
      <c r="AK213" s="33">
        <f>IF(AJ213&lt;=0,0,MIN('Your debts'!$E$12,AJ213))</f>
        <v/>
      </c>
      <c r="AL213" s="33">
        <f>AJ213-AK213</f>
        <v/>
      </c>
      <c r="AM213" s="33">
        <f>IF('Your debts'!$F$12="",0,MIN(AL213,MAX(0,MAX(0,'Your debts'!$C$19-(G213+L213+Q213+V213+AA213+AF213+AK213+AP213+AU213+AZ213))-(IF(AND('Your debts'!$F$6&lt;&gt;"",'Your debts'!$F$12&lt;&gt;"",'Your debts'!$F$6&lt;'Your debts'!$F$12),H213,0)+IF(AND('Your debts'!$F$7&lt;&gt;"",'Your debts'!$F$12&lt;&gt;"",'Your debts'!$F$7&lt;'Your debts'!$F$12),M213,0)+IF(AND('Your debts'!$F$8&lt;&gt;"",'Your debts'!$F$12&lt;&gt;"",'Your debts'!$F$8&lt;'Your debts'!$F$12),R213,0)+IF(AND('Your debts'!$F$9&lt;&gt;"",'Your debts'!$F$12&lt;&gt;"",'Your debts'!$F$9&lt;'Your debts'!$F$12),W213,0)+IF(AND('Your debts'!$F$10&lt;&gt;"",'Your debts'!$F$12&lt;&gt;"",'Your debts'!$F$10&lt;'Your debts'!$F$12),AB213,0)+IF(AND('Your debts'!$F$11&lt;&gt;"",'Your debts'!$F$12&lt;&gt;"",'Your debts'!$F$11&lt;'Your debts'!$F$12),AG213,0)+IF(AND('Your debts'!$F$13&lt;&gt;"",'Your debts'!$F$12&lt;&gt;"",'Your debts'!$F$13&lt;'Your debts'!$F$12),AQ213,0)+IF(AND('Your debts'!$F$14&lt;&gt;"",'Your debts'!$F$12&lt;&gt;"",'Your debts'!$F$14&lt;'Your debts'!$F$12),AV213,0)+IF(AND('Your debts'!$F$15&lt;&gt;"",'Your debts'!$F$12&lt;&gt;"",'Your debts'!$F$15&lt;'Your debts'!$F$12),BA213,0)))))</f>
        <v/>
      </c>
      <c r="AN213" s="33">
        <f>AL213-AM213</f>
        <v/>
      </c>
      <c r="AO213" s="33">
        <f>IF(AS212&lt;=0,0,ROUND(AS212*(1+'Your debts'!$D$13/1200),2))</f>
        <v/>
      </c>
      <c r="AP213" s="33">
        <f>IF(AO213&lt;=0,0,MIN('Your debts'!$E$13,AO213))</f>
        <v/>
      </c>
      <c r="AQ213" s="33">
        <f>AO213-AP213</f>
        <v/>
      </c>
      <c r="AR213" s="33">
        <f>IF('Your debts'!$F$13="",0,MIN(AQ213,MAX(0,MAX(0,'Your debts'!$C$19-(G213+L213+Q213+V213+AA213+AF213+AK213+AP213+AU213+AZ213))-(IF(AND('Your debts'!$F$6&lt;&gt;"",'Your debts'!$F$13&lt;&gt;"",'Your debts'!$F$6&lt;'Your debts'!$F$13),H213,0)+IF(AND('Your debts'!$F$7&lt;&gt;"",'Your debts'!$F$13&lt;&gt;"",'Your debts'!$F$7&lt;'Your debts'!$F$13),M213,0)+IF(AND('Your debts'!$F$8&lt;&gt;"",'Your debts'!$F$13&lt;&gt;"",'Your debts'!$F$8&lt;'Your debts'!$F$13),R213,0)+IF(AND('Your debts'!$F$9&lt;&gt;"",'Your debts'!$F$13&lt;&gt;"",'Your debts'!$F$9&lt;'Your debts'!$F$13),W213,0)+IF(AND('Your debts'!$F$10&lt;&gt;"",'Your debts'!$F$13&lt;&gt;"",'Your debts'!$F$10&lt;'Your debts'!$F$13),AB213,0)+IF(AND('Your debts'!$F$11&lt;&gt;"",'Your debts'!$F$13&lt;&gt;"",'Your debts'!$F$11&lt;'Your debts'!$F$13),AG213,0)+IF(AND('Your debts'!$F$12&lt;&gt;"",'Your debts'!$F$13&lt;&gt;"",'Your debts'!$F$12&lt;'Your debts'!$F$13),AL213,0)+IF(AND('Your debts'!$F$14&lt;&gt;"",'Your debts'!$F$13&lt;&gt;"",'Your debts'!$F$14&lt;'Your debts'!$F$13),AV213,0)+IF(AND('Your debts'!$F$15&lt;&gt;"",'Your debts'!$F$13&lt;&gt;"",'Your debts'!$F$15&lt;'Your debts'!$F$13),BA213,0)))))</f>
        <v/>
      </c>
      <c r="AS213" s="33">
        <f>AQ213-AR213</f>
        <v/>
      </c>
      <c r="AT213" s="33">
        <f>IF(AX212&lt;=0,0,ROUND(AX212*(1+'Your debts'!$D$14/1200),2))</f>
        <v/>
      </c>
      <c r="AU213" s="33">
        <f>IF(AT213&lt;=0,0,MIN('Your debts'!$E$14,AT213))</f>
        <v/>
      </c>
      <c r="AV213" s="33">
        <f>AT213-AU213</f>
        <v/>
      </c>
      <c r="AW213" s="33">
        <f>IF('Your debts'!$F$14="",0,MIN(AV213,MAX(0,MAX(0,'Your debts'!$C$19-(G213+L213+Q213+V213+AA213+AF213+AK213+AP213+AU213+AZ213))-(IF(AND('Your debts'!$F$6&lt;&gt;"",'Your debts'!$F$14&lt;&gt;"",'Your debts'!$F$6&lt;'Your debts'!$F$14),H213,0)+IF(AND('Your debts'!$F$7&lt;&gt;"",'Your debts'!$F$14&lt;&gt;"",'Your debts'!$F$7&lt;'Your debts'!$F$14),M213,0)+IF(AND('Your debts'!$F$8&lt;&gt;"",'Your debts'!$F$14&lt;&gt;"",'Your debts'!$F$8&lt;'Your debts'!$F$14),R213,0)+IF(AND('Your debts'!$F$9&lt;&gt;"",'Your debts'!$F$14&lt;&gt;"",'Your debts'!$F$9&lt;'Your debts'!$F$14),W213,0)+IF(AND('Your debts'!$F$10&lt;&gt;"",'Your debts'!$F$14&lt;&gt;"",'Your debts'!$F$10&lt;'Your debts'!$F$14),AB213,0)+IF(AND('Your debts'!$F$11&lt;&gt;"",'Your debts'!$F$14&lt;&gt;"",'Your debts'!$F$11&lt;'Your debts'!$F$14),AG213,0)+IF(AND('Your debts'!$F$12&lt;&gt;"",'Your debts'!$F$14&lt;&gt;"",'Your debts'!$F$12&lt;'Your debts'!$F$14),AL213,0)+IF(AND('Your debts'!$F$13&lt;&gt;"",'Your debts'!$F$14&lt;&gt;"",'Your debts'!$F$13&lt;'Your debts'!$F$14),AQ213,0)+IF(AND('Your debts'!$F$15&lt;&gt;"",'Your debts'!$F$14&lt;&gt;"",'Your debts'!$F$15&lt;'Your debts'!$F$14),BA213,0)))))</f>
        <v/>
      </c>
      <c r="AX213" s="33">
        <f>AV213-AW213</f>
        <v/>
      </c>
      <c r="AY213" s="33">
        <f>IF(BC212&lt;=0,0,ROUND(BC212*(1+'Your debts'!$D$15/1200),2))</f>
        <v/>
      </c>
      <c r="AZ213" s="33">
        <f>IF(AY213&lt;=0,0,MIN('Your debts'!$E$15,AY213))</f>
        <v/>
      </c>
      <c r="BA213" s="33">
        <f>AY213-AZ213</f>
        <v/>
      </c>
      <c r="BB213" s="33">
        <f>IF('Your debts'!$F$15="",0,MIN(BA213,MAX(0,MAX(0,'Your debts'!$C$19-(G213+L213+Q213+V213+AA213+AF213+AK213+AP213+AU213+AZ213))-(IF(AND('Your debts'!$F$6&lt;&gt;"",'Your debts'!$F$15&lt;&gt;"",'Your debts'!$F$6&lt;'Your debts'!$F$15),H213,0)+IF(AND('Your debts'!$F$7&lt;&gt;"",'Your debts'!$F$15&lt;&gt;"",'Your debts'!$F$7&lt;'Your debts'!$F$15),M213,0)+IF(AND('Your debts'!$F$8&lt;&gt;"",'Your debts'!$F$15&lt;&gt;"",'Your debts'!$F$8&lt;'Your debts'!$F$15),R213,0)+IF(AND('Your debts'!$F$9&lt;&gt;"",'Your debts'!$F$15&lt;&gt;"",'Your debts'!$F$9&lt;'Your debts'!$F$15),W213,0)+IF(AND('Your debts'!$F$10&lt;&gt;"",'Your debts'!$F$15&lt;&gt;"",'Your debts'!$F$10&lt;'Your debts'!$F$15),AB213,0)+IF(AND('Your debts'!$F$11&lt;&gt;"",'Your debts'!$F$15&lt;&gt;"",'Your debts'!$F$11&lt;'Your debts'!$F$15),AG213,0)+IF(AND('Your debts'!$F$12&lt;&gt;"",'Your debts'!$F$15&lt;&gt;"",'Your debts'!$F$12&lt;'Your debts'!$F$15),AL213,0)+IF(AND('Your debts'!$F$13&lt;&gt;"",'Your debts'!$F$15&lt;&gt;"",'Your debts'!$F$13&lt;'Your debts'!$F$15),AQ213,0)+IF(AND('Your debts'!$F$14&lt;&gt;"",'Your debts'!$F$15&lt;&gt;"",'Your debts'!$F$14&lt;'Your debts'!$F$15),AV213,0)))))</f>
        <v/>
      </c>
      <c r="BC213" s="33">
        <f>BA213-BB213</f>
        <v/>
      </c>
    </row>
    <row r="214">
      <c r="A214" s="30" t="n">
        <v>199</v>
      </c>
      <c r="B214" s="31">
        <f>EDATE($B$15,199)</f>
        <v/>
      </c>
      <c r="C214" s="32">
        <f>IF(J213&lt;=0,0,F214-J213)+IF(O213&lt;=0,0,K214-O213)+IF(T213&lt;=0,0,P214-T213)+IF(Y213&lt;=0,0,U214-Y213)+IF(AD213&lt;=0,0,Z214-AD213)+IF(AI213&lt;=0,0,AE214-AI213)+IF(AN213&lt;=0,0,AJ214-AN213)+IF(AS213&lt;=0,0,AO214-AS213)+IF(AX213&lt;=0,0,AT214-AX213)+IF(BC213&lt;=0,0,AY214-BC213)</f>
        <v/>
      </c>
      <c r="D214" s="32">
        <f>G214+I214+L214+N214+Q214+S214+V214+X214+AA214+AC214+AF214+AH214+AK214+AM214+AP214+AR214+AU214+AW214+AZ214+BB214</f>
        <v/>
      </c>
      <c r="E214" s="32">
        <f>J214+O214+T214+Y214+AD214+AI214+AN214+AS214+AX214+BC214</f>
        <v/>
      </c>
      <c r="F214" s="33">
        <f>IF(J213&lt;=0,0,ROUND(J213*(1+'Your debts'!$D$6/1200),2))</f>
        <v/>
      </c>
      <c r="G214" s="33">
        <f>IF(F214&lt;=0,0,MIN('Your debts'!$E$6,F214))</f>
        <v/>
      </c>
      <c r="H214" s="33">
        <f>F214-G214</f>
        <v/>
      </c>
      <c r="I214" s="33">
        <f>IF('Your debts'!$F$6="",0,MIN(H214,MAX(0,MAX(0,'Your debts'!$C$19-(G214+L214+Q214+V214+AA214+AF214+AK214+AP214+AU214+AZ214))-(IF(AND('Your debts'!$F$7&lt;&gt;"",'Your debts'!$F$6&lt;&gt;"",'Your debts'!$F$7&lt;'Your debts'!$F$6),M214,0)+IF(AND('Your debts'!$F$8&lt;&gt;"",'Your debts'!$F$6&lt;&gt;"",'Your debts'!$F$8&lt;'Your debts'!$F$6),R214,0)+IF(AND('Your debts'!$F$9&lt;&gt;"",'Your debts'!$F$6&lt;&gt;"",'Your debts'!$F$9&lt;'Your debts'!$F$6),W214,0)+IF(AND('Your debts'!$F$10&lt;&gt;"",'Your debts'!$F$6&lt;&gt;"",'Your debts'!$F$10&lt;'Your debts'!$F$6),AB214,0)+IF(AND('Your debts'!$F$11&lt;&gt;"",'Your debts'!$F$6&lt;&gt;"",'Your debts'!$F$11&lt;'Your debts'!$F$6),AG214,0)+IF(AND('Your debts'!$F$12&lt;&gt;"",'Your debts'!$F$6&lt;&gt;"",'Your debts'!$F$12&lt;'Your debts'!$F$6),AL214,0)+IF(AND('Your debts'!$F$13&lt;&gt;"",'Your debts'!$F$6&lt;&gt;"",'Your debts'!$F$13&lt;'Your debts'!$F$6),AQ214,0)+IF(AND('Your debts'!$F$14&lt;&gt;"",'Your debts'!$F$6&lt;&gt;"",'Your debts'!$F$14&lt;'Your debts'!$F$6),AV214,0)+IF(AND('Your debts'!$F$15&lt;&gt;"",'Your debts'!$F$6&lt;&gt;"",'Your debts'!$F$15&lt;'Your debts'!$F$6),BA214,0)))))</f>
        <v/>
      </c>
      <c r="J214" s="33">
        <f>H214-I214</f>
        <v/>
      </c>
      <c r="K214" s="33">
        <f>IF(O213&lt;=0,0,ROUND(O213*(1+'Your debts'!$D$7/1200),2))</f>
        <v/>
      </c>
      <c r="L214" s="33">
        <f>IF(K214&lt;=0,0,MIN('Your debts'!$E$7,K214))</f>
        <v/>
      </c>
      <c r="M214" s="33">
        <f>K214-L214</f>
        <v/>
      </c>
      <c r="N214" s="33">
        <f>IF('Your debts'!$F$7="",0,MIN(M214,MAX(0,MAX(0,'Your debts'!$C$19-(G214+L214+Q214+V214+AA214+AF214+AK214+AP214+AU214+AZ214))-(IF(AND('Your debts'!$F$6&lt;&gt;"",'Your debts'!$F$7&lt;&gt;"",'Your debts'!$F$6&lt;'Your debts'!$F$7),H214,0)+IF(AND('Your debts'!$F$8&lt;&gt;"",'Your debts'!$F$7&lt;&gt;"",'Your debts'!$F$8&lt;'Your debts'!$F$7),R214,0)+IF(AND('Your debts'!$F$9&lt;&gt;"",'Your debts'!$F$7&lt;&gt;"",'Your debts'!$F$9&lt;'Your debts'!$F$7),W214,0)+IF(AND('Your debts'!$F$10&lt;&gt;"",'Your debts'!$F$7&lt;&gt;"",'Your debts'!$F$10&lt;'Your debts'!$F$7),AB214,0)+IF(AND('Your debts'!$F$11&lt;&gt;"",'Your debts'!$F$7&lt;&gt;"",'Your debts'!$F$11&lt;'Your debts'!$F$7),AG214,0)+IF(AND('Your debts'!$F$12&lt;&gt;"",'Your debts'!$F$7&lt;&gt;"",'Your debts'!$F$12&lt;'Your debts'!$F$7),AL214,0)+IF(AND('Your debts'!$F$13&lt;&gt;"",'Your debts'!$F$7&lt;&gt;"",'Your debts'!$F$13&lt;'Your debts'!$F$7),AQ214,0)+IF(AND('Your debts'!$F$14&lt;&gt;"",'Your debts'!$F$7&lt;&gt;"",'Your debts'!$F$14&lt;'Your debts'!$F$7),AV214,0)+IF(AND('Your debts'!$F$15&lt;&gt;"",'Your debts'!$F$7&lt;&gt;"",'Your debts'!$F$15&lt;'Your debts'!$F$7),BA214,0)))))</f>
        <v/>
      </c>
      <c r="O214" s="33">
        <f>M214-N214</f>
        <v/>
      </c>
      <c r="P214" s="33">
        <f>IF(T213&lt;=0,0,ROUND(T213*(1+'Your debts'!$D$8/1200),2))</f>
        <v/>
      </c>
      <c r="Q214" s="33">
        <f>IF(P214&lt;=0,0,MIN('Your debts'!$E$8,P214))</f>
        <v/>
      </c>
      <c r="R214" s="33">
        <f>P214-Q214</f>
        <v/>
      </c>
      <c r="S214" s="33">
        <f>IF('Your debts'!$F$8="",0,MIN(R214,MAX(0,MAX(0,'Your debts'!$C$19-(G214+L214+Q214+V214+AA214+AF214+AK214+AP214+AU214+AZ214))-(IF(AND('Your debts'!$F$6&lt;&gt;"",'Your debts'!$F$8&lt;&gt;"",'Your debts'!$F$6&lt;'Your debts'!$F$8),H214,0)+IF(AND('Your debts'!$F$7&lt;&gt;"",'Your debts'!$F$8&lt;&gt;"",'Your debts'!$F$7&lt;'Your debts'!$F$8),M214,0)+IF(AND('Your debts'!$F$9&lt;&gt;"",'Your debts'!$F$8&lt;&gt;"",'Your debts'!$F$9&lt;'Your debts'!$F$8),W214,0)+IF(AND('Your debts'!$F$10&lt;&gt;"",'Your debts'!$F$8&lt;&gt;"",'Your debts'!$F$10&lt;'Your debts'!$F$8),AB214,0)+IF(AND('Your debts'!$F$11&lt;&gt;"",'Your debts'!$F$8&lt;&gt;"",'Your debts'!$F$11&lt;'Your debts'!$F$8),AG214,0)+IF(AND('Your debts'!$F$12&lt;&gt;"",'Your debts'!$F$8&lt;&gt;"",'Your debts'!$F$12&lt;'Your debts'!$F$8),AL214,0)+IF(AND('Your debts'!$F$13&lt;&gt;"",'Your debts'!$F$8&lt;&gt;"",'Your debts'!$F$13&lt;'Your debts'!$F$8),AQ214,0)+IF(AND('Your debts'!$F$14&lt;&gt;"",'Your debts'!$F$8&lt;&gt;"",'Your debts'!$F$14&lt;'Your debts'!$F$8),AV214,0)+IF(AND('Your debts'!$F$15&lt;&gt;"",'Your debts'!$F$8&lt;&gt;"",'Your debts'!$F$15&lt;'Your debts'!$F$8),BA214,0)))))</f>
        <v/>
      </c>
      <c r="T214" s="33">
        <f>R214-S214</f>
        <v/>
      </c>
      <c r="U214" s="33">
        <f>IF(Y213&lt;=0,0,ROUND(Y213*(1+'Your debts'!$D$9/1200),2))</f>
        <v/>
      </c>
      <c r="V214" s="33">
        <f>IF(U214&lt;=0,0,MIN('Your debts'!$E$9,U214))</f>
        <v/>
      </c>
      <c r="W214" s="33">
        <f>U214-V214</f>
        <v/>
      </c>
      <c r="X214" s="33">
        <f>IF('Your debts'!$F$9="",0,MIN(W214,MAX(0,MAX(0,'Your debts'!$C$19-(G214+L214+Q214+V214+AA214+AF214+AK214+AP214+AU214+AZ214))-(IF(AND('Your debts'!$F$6&lt;&gt;"",'Your debts'!$F$9&lt;&gt;"",'Your debts'!$F$6&lt;'Your debts'!$F$9),H214,0)+IF(AND('Your debts'!$F$7&lt;&gt;"",'Your debts'!$F$9&lt;&gt;"",'Your debts'!$F$7&lt;'Your debts'!$F$9),M214,0)+IF(AND('Your debts'!$F$8&lt;&gt;"",'Your debts'!$F$9&lt;&gt;"",'Your debts'!$F$8&lt;'Your debts'!$F$9),R214,0)+IF(AND('Your debts'!$F$10&lt;&gt;"",'Your debts'!$F$9&lt;&gt;"",'Your debts'!$F$10&lt;'Your debts'!$F$9),AB214,0)+IF(AND('Your debts'!$F$11&lt;&gt;"",'Your debts'!$F$9&lt;&gt;"",'Your debts'!$F$11&lt;'Your debts'!$F$9),AG214,0)+IF(AND('Your debts'!$F$12&lt;&gt;"",'Your debts'!$F$9&lt;&gt;"",'Your debts'!$F$12&lt;'Your debts'!$F$9),AL214,0)+IF(AND('Your debts'!$F$13&lt;&gt;"",'Your debts'!$F$9&lt;&gt;"",'Your debts'!$F$13&lt;'Your debts'!$F$9),AQ214,0)+IF(AND('Your debts'!$F$14&lt;&gt;"",'Your debts'!$F$9&lt;&gt;"",'Your debts'!$F$14&lt;'Your debts'!$F$9),AV214,0)+IF(AND('Your debts'!$F$15&lt;&gt;"",'Your debts'!$F$9&lt;&gt;"",'Your debts'!$F$15&lt;'Your debts'!$F$9),BA214,0)))))</f>
        <v/>
      </c>
      <c r="Y214" s="33">
        <f>W214-X214</f>
        <v/>
      </c>
      <c r="Z214" s="33">
        <f>IF(AD213&lt;=0,0,ROUND(AD213*(1+'Your debts'!$D$10/1200),2))</f>
        <v/>
      </c>
      <c r="AA214" s="33">
        <f>IF(Z214&lt;=0,0,MIN('Your debts'!$E$10,Z214))</f>
        <v/>
      </c>
      <c r="AB214" s="33">
        <f>Z214-AA214</f>
        <v/>
      </c>
      <c r="AC214" s="33">
        <f>IF('Your debts'!$F$10="",0,MIN(AB214,MAX(0,MAX(0,'Your debts'!$C$19-(G214+L214+Q214+V214+AA214+AF214+AK214+AP214+AU214+AZ214))-(IF(AND('Your debts'!$F$6&lt;&gt;"",'Your debts'!$F$10&lt;&gt;"",'Your debts'!$F$6&lt;'Your debts'!$F$10),H214,0)+IF(AND('Your debts'!$F$7&lt;&gt;"",'Your debts'!$F$10&lt;&gt;"",'Your debts'!$F$7&lt;'Your debts'!$F$10),M214,0)+IF(AND('Your debts'!$F$8&lt;&gt;"",'Your debts'!$F$10&lt;&gt;"",'Your debts'!$F$8&lt;'Your debts'!$F$10),R214,0)+IF(AND('Your debts'!$F$9&lt;&gt;"",'Your debts'!$F$10&lt;&gt;"",'Your debts'!$F$9&lt;'Your debts'!$F$10),W214,0)+IF(AND('Your debts'!$F$11&lt;&gt;"",'Your debts'!$F$10&lt;&gt;"",'Your debts'!$F$11&lt;'Your debts'!$F$10),AG214,0)+IF(AND('Your debts'!$F$12&lt;&gt;"",'Your debts'!$F$10&lt;&gt;"",'Your debts'!$F$12&lt;'Your debts'!$F$10),AL214,0)+IF(AND('Your debts'!$F$13&lt;&gt;"",'Your debts'!$F$10&lt;&gt;"",'Your debts'!$F$13&lt;'Your debts'!$F$10),AQ214,0)+IF(AND('Your debts'!$F$14&lt;&gt;"",'Your debts'!$F$10&lt;&gt;"",'Your debts'!$F$14&lt;'Your debts'!$F$10),AV214,0)+IF(AND('Your debts'!$F$15&lt;&gt;"",'Your debts'!$F$10&lt;&gt;"",'Your debts'!$F$15&lt;'Your debts'!$F$10),BA214,0)))))</f>
        <v/>
      </c>
      <c r="AD214" s="33">
        <f>AB214-AC214</f>
        <v/>
      </c>
      <c r="AE214" s="33">
        <f>IF(AI213&lt;=0,0,ROUND(AI213*(1+'Your debts'!$D$11/1200),2))</f>
        <v/>
      </c>
      <c r="AF214" s="33">
        <f>IF(AE214&lt;=0,0,MIN('Your debts'!$E$11,AE214))</f>
        <v/>
      </c>
      <c r="AG214" s="33">
        <f>AE214-AF214</f>
        <v/>
      </c>
      <c r="AH214" s="33">
        <f>IF('Your debts'!$F$11="",0,MIN(AG214,MAX(0,MAX(0,'Your debts'!$C$19-(G214+L214+Q214+V214+AA214+AF214+AK214+AP214+AU214+AZ214))-(IF(AND('Your debts'!$F$6&lt;&gt;"",'Your debts'!$F$11&lt;&gt;"",'Your debts'!$F$6&lt;'Your debts'!$F$11),H214,0)+IF(AND('Your debts'!$F$7&lt;&gt;"",'Your debts'!$F$11&lt;&gt;"",'Your debts'!$F$7&lt;'Your debts'!$F$11),M214,0)+IF(AND('Your debts'!$F$8&lt;&gt;"",'Your debts'!$F$11&lt;&gt;"",'Your debts'!$F$8&lt;'Your debts'!$F$11),R214,0)+IF(AND('Your debts'!$F$9&lt;&gt;"",'Your debts'!$F$11&lt;&gt;"",'Your debts'!$F$9&lt;'Your debts'!$F$11),W214,0)+IF(AND('Your debts'!$F$10&lt;&gt;"",'Your debts'!$F$11&lt;&gt;"",'Your debts'!$F$10&lt;'Your debts'!$F$11),AB214,0)+IF(AND('Your debts'!$F$12&lt;&gt;"",'Your debts'!$F$11&lt;&gt;"",'Your debts'!$F$12&lt;'Your debts'!$F$11),AL214,0)+IF(AND('Your debts'!$F$13&lt;&gt;"",'Your debts'!$F$11&lt;&gt;"",'Your debts'!$F$13&lt;'Your debts'!$F$11),AQ214,0)+IF(AND('Your debts'!$F$14&lt;&gt;"",'Your debts'!$F$11&lt;&gt;"",'Your debts'!$F$14&lt;'Your debts'!$F$11),AV214,0)+IF(AND('Your debts'!$F$15&lt;&gt;"",'Your debts'!$F$11&lt;&gt;"",'Your debts'!$F$15&lt;'Your debts'!$F$11),BA214,0)))))</f>
        <v/>
      </c>
      <c r="AI214" s="33">
        <f>AG214-AH214</f>
        <v/>
      </c>
      <c r="AJ214" s="33">
        <f>IF(AN213&lt;=0,0,ROUND(AN213*(1+'Your debts'!$D$12/1200),2))</f>
        <v/>
      </c>
      <c r="AK214" s="33">
        <f>IF(AJ214&lt;=0,0,MIN('Your debts'!$E$12,AJ214))</f>
        <v/>
      </c>
      <c r="AL214" s="33">
        <f>AJ214-AK214</f>
        <v/>
      </c>
      <c r="AM214" s="33">
        <f>IF('Your debts'!$F$12="",0,MIN(AL214,MAX(0,MAX(0,'Your debts'!$C$19-(G214+L214+Q214+V214+AA214+AF214+AK214+AP214+AU214+AZ214))-(IF(AND('Your debts'!$F$6&lt;&gt;"",'Your debts'!$F$12&lt;&gt;"",'Your debts'!$F$6&lt;'Your debts'!$F$12),H214,0)+IF(AND('Your debts'!$F$7&lt;&gt;"",'Your debts'!$F$12&lt;&gt;"",'Your debts'!$F$7&lt;'Your debts'!$F$12),M214,0)+IF(AND('Your debts'!$F$8&lt;&gt;"",'Your debts'!$F$12&lt;&gt;"",'Your debts'!$F$8&lt;'Your debts'!$F$12),R214,0)+IF(AND('Your debts'!$F$9&lt;&gt;"",'Your debts'!$F$12&lt;&gt;"",'Your debts'!$F$9&lt;'Your debts'!$F$12),W214,0)+IF(AND('Your debts'!$F$10&lt;&gt;"",'Your debts'!$F$12&lt;&gt;"",'Your debts'!$F$10&lt;'Your debts'!$F$12),AB214,0)+IF(AND('Your debts'!$F$11&lt;&gt;"",'Your debts'!$F$12&lt;&gt;"",'Your debts'!$F$11&lt;'Your debts'!$F$12),AG214,0)+IF(AND('Your debts'!$F$13&lt;&gt;"",'Your debts'!$F$12&lt;&gt;"",'Your debts'!$F$13&lt;'Your debts'!$F$12),AQ214,0)+IF(AND('Your debts'!$F$14&lt;&gt;"",'Your debts'!$F$12&lt;&gt;"",'Your debts'!$F$14&lt;'Your debts'!$F$12),AV214,0)+IF(AND('Your debts'!$F$15&lt;&gt;"",'Your debts'!$F$12&lt;&gt;"",'Your debts'!$F$15&lt;'Your debts'!$F$12),BA214,0)))))</f>
        <v/>
      </c>
      <c r="AN214" s="33">
        <f>AL214-AM214</f>
        <v/>
      </c>
      <c r="AO214" s="33">
        <f>IF(AS213&lt;=0,0,ROUND(AS213*(1+'Your debts'!$D$13/1200),2))</f>
        <v/>
      </c>
      <c r="AP214" s="33">
        <f>IF(AO214&lt;=0,0,MIN('Your debts'!$E$13,AO214))</f>
        <v/>
      </c>
      <c r="AQ214" s="33">
        <f>AO214-AP214</f>
        <v/>
      </c>
      <c r="AR214" s="33">
        <f>IF('Your debts'!$F$13="",0,MIN(AQ214,MAX(0,MAX(0,'Your debts'!$C$19-(G214+L214+Q214+V214+AA214+AF214+AK214+AP214+AU214+AZ214))-(IF(AND('Your debts'!$F$6&lt;&gt;"",'Your debts'!$F$13&lt;&gt;"",'Your debts'!$F$6&lt;'Your debts'!$F$13),H214,0)+IF(AND('Your debts'!$F$7&lt;&gt;"",'Your debts'!$F$13&lt;&gt;"",'Your debts'!$F$7&lt;'Your debts'!$F$13),M214,0)+IF(AND('Your debts'!$F$8&lt;&gt;"",'Your debts'!$F$13&lt;&gt;"",'Your debts'!$F$8&lt;'Your debts'!$F$13),R214,0)+IF(AND('Your debts'!$F$9&lt;&gt;"",'Your debts'!$F$13&lt;&gt;"",'Your debts'!$F$9&lt;'Your debts'!$F$13),W214,0)+IF(AND('Your debts'!$F$10&lt;&gt;"",'Your debts'!$F$13&lt;&gt;"",'Your debts'!$F$10&lt;'Your debts'!$F$13),AB214,0)+IF(AND('Your debts'!$F$11&lt;&gt;"",'Your debts'!$F$13&lt;&gt;"",'Your debts'!$F$11&lt;'Your debts'!$F$13),AG214,0)+IF(AND('Your debts'!$F$12&lt;&gt;"",'Your debts'!$F$13&lt;&gt;"",'Your debts'!$F$12&lt;'Your debts'!$F$13),AL214,0)+IF(AND('Your debts'!$F$14&lt;&gt;"",'Your debts'!$F$13&lt;&gt;"",'Your debts'!$F$14&lt;'Your debts'!$F$13),AV214,0)+IF(AND('Your debts'!$F$15&lt;&gt;"",'Your debts'!$F$13&lt;&gt;"",'Your debts'!$F$15&lt;'Your debts'!$F$13),BA214,0)))))</f>
        <v/>
      </c>
      <c r="AS214" s="33">
        <f>AQ214-AR214</f>
        <v/>
      </c>
      <c r="AT214" s="33">
        <f>IF(AX213&lt;=0,0,ROUND(AX213*(1+'Your debts'!$D$14/1200),2))</f>
        <v/>
      </c>
      <c r="AU214" s="33">
        <f>IF(AT214&lt;=0,0,MIN('Your debts'!$E$14,AT214))</f>
        <v/>
      </c>
      <c r="AV214" s="33">
        <f>AT214-AU214</f>
        <v/>
      </c>
      <c r="AW214" s="33">
        <f>IF('Your debts'!$F$14="",0,MIN(AV214,MAX(0,MAX(0,'Your debts'!$C$19-(G214+L214+Q214+V214+AA214+AF214+AK214+AP214+AU214+AZ214))-(IF(AND('Your debts'!$F$6&lt;&gt;"",'Your debts'!$F$14&lt;&gt;"",'Your debts'!$F$6&lt;'Your debts'!$F$14),H214,0)+IF(AND('Your debts'!$F$7&lt;&gt;"",'Your debts'!$F$14&lt;&gt;"",'Your debts'!$F$7&lt;'Your debts'!$F$14),M214,0)+IF(AND('Your debts'!$F$8&lt;&gt;"",'Your debts'!$F$14&lt;&gt;"",'Your debts'!$F$8&lt;'Your debts'!$F$14),R214,0)+IF(AND('Your debts'!$F$9&lt;&gt;"",'Your debts'!$F$14&lt;&gt;"",'Your debts'!$F$9&lt;'Your debts'!$F$14),W214,0)+IF(AND('Your debts'!$F$10&lt;&gt;"",'Your debts'!$F$14&lt;&gt;"",'Your debts'!$F$10&lt;'Your debts'!$F$14),AB214,0)+IF(AND('Your debts'!$F$11&lt;&gt;"",'Your debts'!$F$14&lt;&gt;"",'Your debts'!$F$11&lt;'Your debts'!$F$14),AG214,0)+IF(AND('Your debts'!$F$12&lt;&gt;"",'Your debts'!$F$14&lt;&gt;"",'Your debts'!$F$12&lt;'Your debts'!$F$14),AL214,0)+IF(AND('Your debts'!$F$13&lt;&gt;"",'Your debts'!$F$14&lt;&gt;"",'Your debts'!$F$13&lt;'Your debts'!$F$14),AQ214,0)+IF(AND('Your debts'!$F$15&lt;&gt;"",'Your debts'!$F$14&lt;&gt;"",'Your debts'!$F$15&lt;'Your debts'!$F$14),BA214,0)))))</f>
        <v/>
      </c>
      <c r="AX214" s="33">
        <f>AV214-AW214</f>
        <v/>
      </c>
      <c r="AY214" s="33">
        <f>IF(BC213&lt;=0,0,ROUND(BC213*(1+'Your debts'!$D$15/1200),2))</f>
        <v/>
      </c>
      <c r="AZ214" s="33">
        <f>IF(AY214&lt;=0,0,MIN('Your debts'!$E$15,AY214))</f>
        <v/>
      </c>
      <c r="BA214" s="33">
        <f>AY214-AZ214</f>
        <v/>
      </c>
      <c r="BB214" s="33">
        <f>IF('Your debts'!$F$15="",0,MIN(BA214,MAX(0,MAX(0,'Your debts'!$C$19-(G214+L214+Q214+V214+AA214+AF214+AK214+AP214+AU214+AZ214))-(IF(AND('Your debts'!$F$6&lt;&gt;"",'Your debts'!$F$15&lt;&gt;"",'Your debts'!$F$6&lt;'Your debts'!$F$15),H214,0)+IF(AND('Your debts'!$F$7&lt;&gt;"",'Your debts'!$F$15&lt;&gt;"",'Your debts'!$F$7&lt;'Your debts'!$F$15),M214,0)+IF(AND('Your debts'!$F$8&lt;&gt;"",'Your debts'!$F$15&lt;&gt;"",'Your debts'!$F$8&lt;'Your debts'!$F$15),R214,0)+IF(AND('Your debts'!$F$9&lt;&gt;"",'Your debts'!$F$15&lt;&gt;"",'Your debts'!$F$9&lt;'Your debts'!$F$15),W214,0)+IF(AND('Your debts'!$F$10&lt;&gt;"",'Your debts'!$F$15&lt;&gt;"",'Your debts'!$F$10&lt;'Your debts'!$F$15),AB214,0)+IF(AND('Your debts'!$F$11&lt;&gt;"",'Your debts'!$F$15&lt;&gt;"",'Your debts'!$F$11&lt;'Your debts'!$F$15),AG214,0)+IF(AND('Your debts'!$F$12&lt;&gt;"",'Your debts'!$F$15&lt;&gt;"",'Your debts'!$F$12&lt;'Your debts'!$F$15),AL214,0)+IF(AND('Your debts'!$F$13&lt;&gt;"",'Your debts'!$F$15&lt;&gt;"",'Your debts'!$F$13&lt;'Your debts'!$F$15),AQ214,0)+IF(AND('Your debts'!$F$14&lt;&gt;"",'Your debts'!$F$15&lt;&gt;"",'Your debts'!$F$14&lt;'Your debts'!$F$15),AV214,0)))))</f>
        <v/>
      </c>
      <c r="BC214" s="33">
        <f>BA214-BB214</f>
        <v/>
      </c>
    </row>
    <row r="215">
      <c r="A215" s="30" t="n">
        <v>200</v>
      </c>
      <c r="B215" s="31">
        <f>EDATE($B$15,200)</f>
        <v/>
      </c>
      <c r="C215" s="32">
        <f>IF(J214&lt;=0,0,F215-J214)+IF(O214&lt;=0,0,K215-O214)+IF(T214&lt;=0,0,P215-T214)+IF(Y214&lt;=0,0,U215-Y214)+IF(AD214&lt;=0,0,Z215-AD214)+IF(AI214&lt;=0,0,AE215-AI214)+IF(AN214&lt;=0,0,AJ215-AN214)+IF(AS214&lt;=0,0,AO215-AS214)+IF(AX214&lt;=0,0,AT215-AX214)+IF(BC214&lt;=0,0,AY215-BC214)</f>
        <v/>
      </c>
      <c r="D215" s="32">
        <f>G215+I215+L215+N215+Q215+S215+V215+X215+AA215+AC215+AF215+AH215+AK215+AM215+AP215+AR215+AU215+AW215+AZ215+BB215</f>
        <v/>
      </c>
      <c r="E215" s="32">
        <f>J215+O215+T215+Y215+AD215+AI215+AN215+AS215+AX215+BC215</f>
        <v/>
      </c>
      <c r="F215" s="33">
        <f>IF(J214&lt;=0,0,ROUND(J214*(1+'Your debts'!$D$6/1200),2))</f>
        <v/>
      </c>
      <c r="G215" s="33">
        <f>IF(F215&lt;=0,0,MIN('Your debts'!$E$6,F215))</f>
        <v/>
      </c>
      <c r="H215" s="33">
        <f>F215-G215</f>
        <v/>
      </c>
      <c r="I215" s="33">
        <f>IF('Your debts'!$F$6="",0,MIN(H215,MAX(0,MAX(0,'Your debts'!$C$19-(G215+L215+Q215+V215+AA215+AF215+AK215+AP215+AU215+AZ215))-(IF(AND('Your debts'!$F$7&lt;&gt;"",'Your debts'!$F$6&lt;&gt;"",'Your debts'!$F$7&lt;'Your debts'!$F$6),M215,0)+IF(AND('Your debts'!$F$8&lt;&gt;"",'Your debts'!$F$6&lt;&gt;"",'Your debts'!$F$8&lt;'Your debts'!$F$6),R215,0)+IF(AND('Your debts'!$F$9&lt;&gt;"",'Your debts'!$F$6&lt;&gt;"",'Your debts'!$F$9&lt;'Your debts'!$F$6),W215,0)+IF(AND('Your debts'!$F$10&lt;&gt;"",'Your debts'!$F$6&lt;&gt;"",'Your debts'!$F$10&lt;'Your debts'!$F$6),AB215,0)+IF(AND('Your debts'!$F$11&lt;&gt;"",'Your debts'!$F$6&lt;&gt;"",'Your debts'!$F$11&lt;'Your debts'!$F$6),AG215,0)+IF(AND('Your debts'!$F$12&lt;&gt;"",'Your debts'!$F$6&lt;&gt;"",'Your debts'!$F$12&lt;'Your debts'!$F$6),AL215,0)+IF(AND('Your debts'!$F$13&lt;&gt;"",'Your debts'!$F$6&lt;&gt;"",'Your debts'!$F$13&lt;'Your debts'!$F$6),AQ215,0)+IF(AND('Your debts'!$F$14&lt;&gt;"",'Your debts'!$F$6&lt;&gt;"",'Your debts'!$F$14&lt;'Your debts'!$F$6),AV215,0)+IF(AND('Your debts'!$F$15&lt;&gt;"",'Your debts'!$F$6&lt;&gt;"",'Your debts'!$F$15&lt;'Your debts'!$F$6),BA215,0)))))</f>
        <v/>
      </c>
      <c r="J215" s="33">
        <f>H215-I215</f>
        <v/>
      </c>
      <c r="K215" s="33">
        <f>IF(O214&lt;=0,0,ROUND(O214*(1+'Your debts'!$D$7/1200),2))</f>
        <v/>
      </c>
      <c r="L215" s="33">
        <f>IF(K215&lt;=0,0,MIN('Your debts'!$E$7,K215))</f>
        <v/>
      </c>
      <c r="M215" s="33">
        <f>K215-L215</f>
        <v/>
      </c>
      <c r="N215" s="33">
        <f>IF('Your debts'!$F$7="",0,MIN(M215,MAX(0,MAX(0,'Your debts'!$C$19-(G215+L215+Q215+V215+AA215+AF215+AK215+AP215+AU215+AZ215))-(IF(AND('Your debts'!$F$6&lt;&gt;"",'Your debts'!$F$7&lt;&gt;"",'Your debts'!$F$6&lt;'Your debts'!$F$7),H215,0)+IF(AND('Your debts'!$F$8&lt;&gt;"",'Your debts'!$F$7&lt;&gt;"",'Your debts'!$F$8&lt;'Your debts'!$F$7),R215,0)+IF(AND('Your debts'!$F$9&lt;&gt;"",'Your debts'!$F$7&lt;&gt;"",'Your debts'!$F$9&lt;'Your debts'!$F$7),W215,0)+IF(AND('Your debts'!$F$10&lt;&gt;"",'Your debts'!$F$7&lt;&gt;"",'Your debts'!$F$10&lt;'Your debts'!$F$7),AB215,0)+IF(AND('Your debts'!$F$11&lt;&gt;"",'Your debts'!$F$7&lt;&gt;"",'Your debts'!$F$11&lt;'Your debts'!$F$7),AG215,0)+IF(AND('Your debts'!$F$12&lt;&gt;"",'Your debts'!$F$7&lt;&gt;"",'Your debts'!$F$12&lt;'Your debts'!$F$7),AL215,0)+IF(AND('Your debts'!$F$13&lt;&gt;"",'Your debts'!$F$7&lt;&gt;"",'Your debts'!$F$13&lt;'Your debts'!$F$7),AQ215,0)+IF(AND('Your debts'!$F$14&lt;&gt;"",'Your debts'!$F$7&lt;&gt;"",'Your debts'!$F$14&lt;'Your debts'!$F$7),AV215,0)+IF(AND('Your debts'!$F$15&lt;&gt;"",'Your debts'!$F$7&lt;&gt;"",'Your debts'!$F$15&lt;'Your debts'!$F$7),BA215,0)))))</f>
        <v/>
      </c>
      <c r="O215" s="33">
        <f>M215-N215</f>
        <v/>
      </c>
      <c r="P215" s="33">
        <f>IF(T214&lt;=0,0,ROUND(T214*(1+'Your debts'!$D$8/1200),2))</f>
        <v/>
      </c>
      <c r="Q215" s="33">
        <f>IF(P215&lt;=0,0,MIN('Your debts'!$E$8,P215))</f>
        <v/>
      </c>
      <c r="R215" s="33">
        <f>P215-Q215</f>
        <v/>
      </c>
      <c r="S215" s="33">
        <f>IF('Your debts'!$F$8="",0,MIN(R215,MAX(0,MAX(0,'Your debts'!$C$19-(G215+L215+Q215+V215+AA215+AF215+AK215+AP215+AU215+AZ215))-(IF(AND('Your debts'!$F$6&lt;&gt;"",'Your debts'!$F$8&lt;&gt;"",'Your debts'!$F$6&lt;'Your debts'!$F$8),H215,0)+IF(AND('Your debts'!$F$7&lt;&gt;"",'Your debts'!$F$8&lt;&gt;"",'Your debts'!$F$7&lt;'Your debts'!$F$8),M215,0)+IF(AND('Your debts'!$F$9&lt;&gt;"",'Your debts'!$F$8&lt;&gt;"",'Your debts'!$F$9&lt;'Your debts'!$F$8),W215,0)+IF(AND('Your debts'!$F$10&lt;&gt;"",'Your debts'!$F$8&lt;&gt;"",'Your debts'!$F$10&lt;'Your debts'!$F$8),AB215,0)+IF(AND('Your debts'!$F$11&lt;&gt;"",'Your debts'!$F$8&lt;&gt;"",'Your debts'!$F$11&lt;'Your debts'!$F$8),AG215,0)+IF(AND('Your debts'!$F$12&lt;&gt;"",'Your debts'!$F$8&lt;&gt;"",'Your debts'!$F$12&lt;'Your debts'!$F$8),AL215,0)+IF(AND('Your debts'!$F$13&lt;&gt;"",'Your debts'!$F$8&lt;&gt;"",'Your debts'!$F$13&lt;'Your debts'!$F$8),AQ215,0)+IF(AND('Your debts'!$F$14&lt;&gt;"",'Your debts'!$F$8&lt;&gt;"",'Your debts'!$F$14&lt;'Your debts'!$F$8),AV215,0)+IF(AND('Your debts'!$F$15&lt;&gt;"",'Your debts'!$F$8&lt;&gt;"",'Your debts'!$F$15&lt;'Your debts'!$F$8),BA215,0)))))</f>
        <v/>
      </c>
      <c r="T215" s="33">
        <f>R215-S215</f>
        <v/>
      </c>
      <c r="U215" s="33">
        <f>IF(Y214&lt;=0,0,ROUND(Y214*(1+'Your debts'!$D$9/1200),2))</f>
        <v/>
      </c>
      <c r="V215" s="33">
        <f>IF(U215&lt;=0,0,MIN('Your debts'!$E$9,U215))</f>
        <v/>
      </c>
      <c r="W215" s="33">
        <f>U215-V215</f>
        <v/>
      </c>
      <c r="X215" s="33">
        <f>IF('Your debts'!$F$9="",0,MIN(W215,MAX(0,MAX(0,'Your debts'!$C$19-(G215+L215+Q215+V215+AA215+AF215+AK215+AP215+AU215+AZ215))-(IF(AND('Your debts'!$F$6&lt;&gt;"",'Your debts'!$F$9&lt;&gt;"",'Your debts'!$F$6&lt;'Your debts'!$F$9),H215,0)+IF(AND('Your debts'!$F$7&lt;&gt;"",'Your debts'!$F$9&lt;&gt;"",'Your debts'!$F$7&lt;'Your debts'!$F$9),M215,0)+IF(AND('Your debts'!$F$8&lt;&gt;"",'Your debts'!$F$9&lt;&gt;"",'Your debts'!$F$8&lt;'Your debts'!$F$9),R215,0)+IF(AND('Your debts'!$F$10&lt;&gt;"",'Your debts'!$F$9&lt;&gt;"",'Your debts'!$F$10&lt;'Your debts'!$F$9),AB215,0)+IF(AND('Your debts'!$F$11&lt;&gt;"",'Your debts'!$F$9&lt;&gt;"",'Your debts'!$F$11&lt;'Your debts'!$F$9),AG215,0)+IF(AND('Your debts'!$F$12&lt;&gt;"",'Your debts'!$F$9&lt;&gt;"",'Your debts'!$F$12&lt;'Your debts'!$F$9),AL215,0)+IF(AND('Your debts'!$F$13&lt;&gt;"",'Your debts'!$F$9&lt;&gt;"",'Your debts'!$F$13&lt;'Your debts'!$F$9),AQ215,0)+IF(AND('Your debts'!$F$14&lt;&gt;"",'Your debts'!$F$9&lt;&gt;"",'Your debts'!$F$14&lt;'Your debts'!$F$9),AV215,0)+IF(AND('Your debts'!$F$15&lt;&gt;"",'Your debts'!$F$9&lt;&gt;"",'Your debts'!$F$15&lt;'Your debts'!$F$9),BA215,0)))))</f>
        <v/>
      </c>
      <c r="Y215" s="33">
        <f>W215-X215</f>
        <v/>
      </c>
      <c r="Z215" s="33">
        <f>IF(AD214&lt;=0,0,ROUND(AD214*(1+'Your debts'!$D$10/1200),2))</f>
        <v/>
      </c>
      <c r="AA215" s="33">
        <f>IF(Z215&lt;=0,0,MIN('Your debts'!$E$10,Z215))</f>
        <v/>
      </c>
      <c r="AB215" s="33">
        <f>Z215-AA215</f>
        <v/>
      </c>
      <c r="AC215" s="33">
        <f>IF('Your debts'!$F$10="",0,MIN(AB215,MAX(0,MAX(0,'Your debts'!$C$19-(G215+L215+Q215+V215+AA215+AF215+AK215+AP215+AU215+AZ215))-(IF(AND('Your debts'!$F$6&lt;&gt;"",'Your debts'!$F$10&lt;&gt;"",'Your debts'!$F$6&lt;'Your debts'!$F$10),H215,0)+IF(AND('Your debts'!$F$7&lt;&gt;"",'Your debts'!$F$10&lt;&gt;"",'Your debts'!$F$7&lt;'Your debts'!$F$10),M215,0)+IF(AND('Your debts'!$F$8&lt;&gt;"",'Your debts'!$F$10&lt;&gt;"",'Your debts'!$F$8&lt;'Your debts'!$F$10),R215,0)+IF(AND('Your debts'!$F$9&lt;&gt;"",'Your debts'!$F$10&lt;&gt;"",'Your debts'!$F$9&lt;'Your debts'!$F$10),W215,0)+IF(AND('Your debts'!$F$11&lt;&gt;"",'Your debts'!$F$10&lt;&gt;"",'Your debts'!$F$11&lt;'Your debts'!$F$10),AG215,0)+IF(AND('Your debts'!$F$12&lt;&gt;"",'Your debts'!$F$10&lt;&gt;"",'Your debts'!$F$12&lt;'Your debts'!$F$10),AL215,0)+IF(AND('Your debts'!$F$13&lt;&gt;"",'Your debts'!$F$10&lt;&gt;"",'Your debts'!$F$13&lt;'Your debts'!$F$10),AQ215,0)+IF(AND('Your debts'!$F$14&lt;&gt;"",'Your debts'!$F$10&lt;&gt;"",'Your debts'!$F$14&lt;'Your debts'!$F$10),AV215,0)+IF(AND('Your debts'!$F$15&lt;&gt;"",'Your debts'!$F$10&lt;&gt;"",'Your debts'!$F$15&lt;'Your debts'!$F$10),BA215,0)))))</f>
        <v/>
      </c>
      <c r="AD215" s="33">
        <f>AB215-AC215</f>
        <v/>
      </c>
      <c r="AE215" s="33">
        <f>IF(AI214&lt;=0,0,ROUND(AI214*(1+'Your debts'!$D$11/1200),2))</f>
        <v/>
      </c>
      <c r="AF215" s="33">
        <f>IF(AE215&lt;=0,0,MIN('Your debts'!$E$11,AE215))</f>
        <v/>
      </c>
      <c r="AG215" s="33">
        <f>AE215-AF215</f>
        <v/>
      </c>
      <c r="AH215" s="33">
        <f>IF('Your debts'!$F$11="",0,MIN(AG215,MAX(0,MAX(0,'Your debts'!$C$19-(G215+L215+Q215+V215+AA215+AF215+AK215+AP215+AU215+AZ215))-(IF(AND('Your debts'!$F$6&lt;&gt;"",'Your debts'!$F$11&lt;&gt;"",'Your debts'!$F$6&lt;'Your debts'!$F$11),H215,0)+IF(AND('Your debts'!$F$7&lt;&gt;"",'Your debts'!$F$11&lt;&gt;"",'Your debts'!$F$7&lt;'Your debts'!$F$11),M215,0)+IF(AND('Your debts'!$F$8&lt;&gt;"",'Your debts'!$F$11&lt;&gt;"",'Your debts'!$F$8&lt;'Your debts'!$F$11),R215,0)+IF(AND('Your debts'!$F$9&lt;&gt;"",'Your debts'!$F$11&lt;&gt;"",'Your debts'!$F$9&lt;'Your debts'!$F$11),W215,0)+IF(AND('Your debts'!$F$10&lt;&gt;"",'Your debts'!$F$11&lt;&gt;"",'Your debts'!$F$10&lt;'Your debts'!$F$11),AB215,0)+IF(AND('Your debts'!$F$12&lt;&gt;"",'Your debts'!$F$11&lt;&gt;"",'Your debts'!$F$12&lt;'Your debts'!$F$11),AL215,0)+IF(AND('Your debts'!$F$13&lt;&gt;"",'Your debts'!$F$11&lt;&gt;"",'Your debts'!$F$13&lt;'Your debts'!$F$11),AQ215,0)+IF(AND('Your debts'!$F$14&lt;&gt;"",'Your debts'!$F$11&lt;&gt;"",'Your debts'!$F$14&lt;'Your debts'!$F$11),AV215,0)+IF(AND('Your debts'!$F$15&lt;&gt;"",'Your debts'!$F$11&lt;&gt;"",'Your debts'!$F$15&lt;'Your debts'!$F$11),BA215,0)))))</f>
        <v/>
      </c>
      <c r="AI215" s="33">
        <f>AG215-AH215</f>
        <v/>
      </c>
      <c r="AJ215" s="33">
        <f>IF(AN214&lt;=0,0,ROUND(AN214*(1+'Your debts'!$D$12/1200),2))</f>
        <v/>
      </c>
      <c r="AK215" s="33">
        <f>IF(AJ215&lt;=0,0,MIN('Your debts'!$E$12,AJ215))</f>
        <v/>
      </c>
      <c r="AL215" s="33">
        <f>AJ215-AK215</f>
        <v/>
      </c>
      <c r="AM215" s="33">
        <f>IF('Your debts'!$F$12="",0,MIN(AL215,MAX(0,MAX(0,'Your debts'!$C$19-(G215+L215+Q215+V215+AA215+AF215+AK215+AP215+AU215+AZ215))-(IF(AND('Your debts'!$F$6&lt;&gt;"",'Your debts'!$F$12&lt;&gt;"",'Your debts'!$F$6&lt;'Your debts'!$F$12),H215,0)+IF(AND('Your debts'!$F$7&lt;&gt;"",'Your debts'!$F$12&lt;&gt;"",'Your debts'!$F$7&lt;'Your debts'!$F$12),M215,0)+IF(AND('Your debts'!$F$8&lt;&gt;"",'Your debts'!$F$12&lt;&gt;"",'Your debts'!$F$8&lt;'Your debts'!$F$12),R215,0)+IF(AND('Your debts'!$F$9&lt;&gt;"",'Your debts'!$F$12&lt;&gt;"",'Your debts'!$F$9&lt;'Your debts'!$F$12),W215,0)+IF(AND('Your debts'!$F$10&lt;&gt;"",'Your debts'!$F$12&lt;&gt;"",'Your debts'!$F$10&lt;'Your debts'!$F$12),AB215,0)+IF(AND('Your debts'!$F$11&lt;&gt;"",'Your debts'!$F$12&lt;&gt;"",'Your debts'!$F$11&lt;'Your debts'!$F$12),AG215,0)+IF(AND('Your debts'!$F$13&lt;&gt;"",'Your debts'!$F$12&lt;&gt;"",'Your debts'!$F$13&lt;'Your debts'!$F$12),AQ215,0)+IF(AND('Your debts'!$F$14&lt;&gt;"",'Your debts'!$F$12&lt;&gt;"",'Your debts'!$F$14&lt;'Your debts'!$F$12),AV215,0)+IF(AND('Your debts'!$F$15&lt;&gt;"",'Your debts'!$F$12&lt;&gt;"",'Your debts'!$F$15&lt;'Your debts'!$F$12),BA215,0)))))</f>
        <v/>
      </c>
      <c r="AN215" s="33">
        <f>AL215-AM215</f>
        <v/>
      </c>
      <c r="AO215" s="33">
        <f>IF(AS214&lt;=0,0,ROUND(AS214*(1+'Your debts'!$D$13/1200),2))</f>
        <v/>
      </c>
      <c r="AP215" s="33">
        <f>IF(AO215&lt;=0,0,MIN('Your debts'!$E$13,AO215))</f>
        <v/>
      </c>
      <c r="AQ215" s="33">
        <f>AO215-AP215</f>
        <v/>
      </c>
      <c r="AR215" s="33">
        <f>IF('Your debts'!$F$13="",0,MIN(AQ215,MAX(0,MAX(0,'Your debts'!$C$19-(G215+L215+Q215+V215+AA215+AF215+AK215+AP215+AU215+AZ215))-(IF(AND('Your debts'!$F$6&lt;&gt;"",'Your debts'!$F$13&lt;&gt;"",'Your debts'!$F$6&lt;'Your debts'!$F$13),H215,0)+IF(AND('Your debts'!$F$7&lt;&gt;"",'Your debts'!$F$13&lt;&gt;"",'Your debts'!$F$7&lt;'Your debts'!$F$13),M215,0)+IF(AND('Your debts'!$F$8&lt;&gt;"",'Your debts'!$F$13&lt;&gt;"",'Your debts'!$F$8&lt;'Your debts'!$F$13),R215,0)+IF(AND('Your debts'!$F$9&lt;&gt;"",'Your debts'!$F$13&lt;&gt;"",'Your debts'!$F$9&lt;'Your debts'!$F$13),W215,0)+IF(AND('Your debts'!$F$10&lt;&gt;"",'Your debts'!$F$13&lt;&gt;"",'Your debts'!$F$10&lt;'Your debts'!$F$13),AB215,0)+IF(AND('Your debts'!$F$11&lt;&gt;"",'Your debts'!$F$13&lt;&gt;"",'Your debts'!$F$11&lt;'Your debts'!$F$13),AG215,0)+IF(AND('Your debts'!$F$12&lt;&gt;"",'Your debts'!$F$13&lt;&gt;"",'Your debts'!$F$12&lt;'Your debts'!$F$13),AL215,0)+IF(AND('Your debts'!$F$14&lt;&gt;"",'Your debts'!$F$13&lt;&gt;"",'Your debts'!$F$14&lt;'Your debts'!$F$13),AV215,0)+IF(AND('Your debts'!$F$15&lt;&gt;"",'Your debts'!$F$13&lt;&gt;"",'Your debts'!$F$15&lt;'Your debts'!$F$13),BA215,0)))))</f>
        <v/>
      </c>
      <c r="AS215" s="33">
        <f>AQ215-AR215</f>
        <v/>
      </c>
      <c r="AT215" s="33">
        <f>IF(AX214&lt;=0,0,ROUND(AX214*(1+'Your debts'!$D$14/1200),2))</f>
        <v/>
      </c>
      <c r="AU215" s="33">
        <f>IF(AT215&lt;=0,0,MIN('Your debts'!$E$14,AT215))</f>
        <v/>
      </c>
      <c r="AV215" s="33">
        <f>AT215-AU215</f>
        <v/>
      </c>
      <c r="AW215" s="33">
        <f>IF('Your debts'!$F$14="",0,MIN(AV215,MAX(0,MAX(0,'Your debts'!$C$19-(G215+L215+Q215+V215+AA215+AF215+AK215+AP215+AU215+AZ215))-(IF(AND('Your debts'!$F$6&lt;&gt;"",'Your debts'!$F$14&lt;&gt;"",'Your debts'!$F$6&lt;'Your debts'!$F$14),H215,0)+IF(AND('Your debts'!$F$7&lt;&gt;"",'Your debts'!$F$14&lt;&gt;"",'Your debts'!$F$7&lt;'Your debts'!$F$14),M215,0)+IF(AND('Your debts'!$F$8&lt;&gt;"",'Your debts'!$F$14&lt;&gt;"",'Your debts'!$F$8&lt;'Your debts'!$F$14),R215,0)+IF(AND('Your debts'!$F$9&lt;&gt;"",'Your debts'!$F$14&lt;&gt;"",'Your debts'!$F$9&lt;'Your debts'!$F$14),W215,0)+IF(AND('Your debts'!$F$10&lt;&gt;"",'Your debts'!$F$14&lt;&gt;"",'Your debts'!$F$10&lt;'Your debts'!$F$14),AB215,0)+IF(AND('Your debts'!$F$11&lt;&gt;"",'Your debts'!$F$14&lt;&gt;"",'Your debts'!$F$11&lt;'Your debts'!$F$14),AG215,0)+IF(AND('Your debts'!$F$12&lt;&gt;"",'Your debts'!$F$14&lt;&gt;"",'Your debts'!$F$12&lt;'Your debts'!$F$14),AL215,0)+IF(AND('Your debts'!$F$13&lt;&gt;"",'Your debts'!$F$14&lt;&gt;"",'Your debts'!$F$13&lt;'Your debts'!$F$14),AQ215,0)+IF(AND('Your debts'!$F$15&lt;&gt;"",'Your debts'!$F$14&lt;&gt;"",'Your debts'!$F$15&lt;'Your debts'!$F$14),BA215,0)))))</f>
        <v/>
      </c>
      <c r="AX215" s="33">
        <f>AV215-AW215</f>
        <v/>
      </c>
      <c r="AY215" s="33">
        <f>IF(BC214&lt;=0,0,ROUND(BC214*(1+'Your debts'!$D$15/1200),2))</f>
        <v/>
      </c>
      <c r="AZ215" s="33">
        <f>IF(AY215&lt;=0,0,MIN('Your debts'!$E$15,AY215))</f>
        <v/>
      </c>
      <c r="BA215" s="33">
        <f>AY215-AZ215</f>
        <v/>
      </c>
      <c r="BB215" s="33">
        <f>IF('Your debts'!$F$15="",0,MIN(BA215,MAX(0,MAX(0,'Your debts'!$C$19-(G215+L215+Q215+V215+AA215+AF215+AK215+AP215+AU215+AZ215))-(IF(AND('Your debts'!$F$6&lt;&gt;"",'Your debts'!$F$15&lt;&gt;"",'Your debts'!$F$6&lt;'Your debts'!$F$15),H215,0)+IF(AND('Your debts'!$F$7&lt;&gt;"",'Your debts'!$F$15&lt;&gt;"",'Your debts'!$F$7&lt;'Your debts'!$F$15),M215,0)+IF(AND('Your debts'!$F$8&lt;&gt;"",'Your debts'!$F$15&lt;&gt;"",'Your debts'!$F$8&lt;'Your debts'!$F$15),R215,0)+IF(AND('Your debts'!$F$9&lt;&gt;"",'Your debts'!$F$15&lt;&gt;"",'Your debts'!$F$9&lt;'Your debts'!$F$15),W215,0)+IF(AND('Your debts'!$F$10&lt;&gt;"",'Your debts'!$F$15&lt;&gt;"",'Your debts'!$F$10&lt;'Your debts'!$F$15),AB215,0)+IF(AND('Your debts'!$F$11&lt;&gt;"",'Your debts'!$F$15&lt;&gt;"",'Your debts'!$F$11&lt;'Your debts'!$F$15),AG215,0)+IF(AND('Your debts'!$F$12&lt;&gt;"",'Your debts'!$F$15&lt;&gt;"",'Your debts'!$F$12&lt;'Your debts'!$F$15),AL215,0)+IF(AND('Your debts'!$F$13&lt;&gt;"",'Your debts'!$F$15&lt;&gt;"",'Your debts'!$F$13&lt;'Your debts'!$F$15),AQ215,0)+IF(AND('Your debts'!$F$14&lt;&gt;"",'Your debts'!$F$15&lt;&gt;"",'Your debts'!$F$14&lt;'Your debts'!$F$15),AV215,0)))))</f>
        <v/>
      </c>
      <c r="BC215" s="33">
        <f>BA215-BB215</f>
        <v/>
      </c>
    </row>
    <row r="216">
      <c r="A216" s="30" t="n">
        <v>201</v>
      </c>
      <c r="B216" s="31">
        <f>EDATE($B$15,201)</f>
        <v/>
      </c>
      <c r="C216" s="32">
        <f>IF(J215&lt;=0,0,F216-J215)+IF(O215&lt;=0,0,K216-O215)+IF(T215&lt;=0,0,P216-T215)+IF(Y215&lt;=0,0,U216-Y215)+IF(AD215&lt;=0,0,Z216-AD215)+IF(AI215&lt;=0,0,AE216-AI215)+IF(AN215&lt;=0,0,AJ216-AN215)+IF(AS215&lt;=0,0,AO216-AS215)+IF(AX215&lt;=0,0,AT216-AX215)+IF(BC215&lt;=0,0,AY216-BC215)</f>
        <v/>
      </c>
      <c r="D216" s="32">
        <f>G216+I216+L216+N216+Q216+S216+V216+X216+AA216+AC216+AF216+AH216+AK216+AM216+AP216+AR216+AU216+AW216+AZ216+BB216</f>
        <v/>
      </c>
      <c r="E216" s="32">
        <f>J216+O216+T216+Y216+AD216+AI216+AN216+AS216+AX216+BC216</f>
        <v/>
      </c>
      <c r="F216" s="33">
        <f>IF(J215&lt;=0,0,ROUND(J215*(1+'Your debts'!$D$6/1200),2))</f>
        <v/>
      </c>
      <c r="G216" s="33">
        <f>IF(F216&lt;=0,0,MIN('Your debts'!$E$6,F216))</f>
        <v/>
      </c>
      <c r="H216" s="33">
        <f>F216-G216</f>
        <v/>
      </c>
      <c r="I216" s="33">
        <f>IF('Your debts'!$F$6="",0,MIN(H216,MAX(0,MAX(0,'Your debts'!$C$19-(G216+L216+Q216+V216+AA216+AF216+AK216+AP216+AU216+AZ216))-(IF(AND('Your debts'!$F$7&lt;&gt;"",'Your debts'!$F$6&lt;&gt;"",'Your debts'!$F$7&lt;'Your debts'!$F$6),M216,0)+IF(AND('Your debts'!$F$8&lt;&gt;"",'Your debts'!$F$6&lt;&gt;"",'Your debts'!$F$8&lt;'Your debts'!$F$6),R216,0)+IF(AND('Your debts'!$F$9&lt;&gt;"",'Your debts'!$F$6&lt;&gt;"",'Your debts'!$F$9&lt;'Your debts'!$F$6),W216,0)+IF(AND('Your debts'!$F$10&lt;&gt;"",'Your debts'!$F$6&lt;&gt;"",'Your debts'!$F$10&lt;'Your debts'!$F$6),AB216,0)+IF(AND('Your debts'!$F$11&lt;&gt;"",'Your debts'!$F$6&lt;&gt;"",'Your debts'!$F$11&lt;'Your debts'!$F$6),AG216,0)+IF(AND('Your debts'!$F$12&lt;&gt;"",'Your debts'!$F$6&lt;&gt;"",'Your debts'!$F$12&lt;'Your debts'!$F$6),AL216,0)+IF(AND('Your debts'!$F$13&lt;&gt;"",'Your debts'!$F$6&lt;&gt;"",'Your debts'!$F$13&lt;'Your debts'!$F$6),AQ216,0)+IF(AND('Your debts'!$F$14&lt;&gt;"",'Your debts'!$F$6&lt;&gt;"",'Your debts'!$F$14&lt;'Your debts'!$F$6),AV216,0)+IF(AND('Your debts'!$F$15&lt;&gt;"",'Your debts'!$F$6&lt;&gt;"",'Your debts'!$F$15&lt;'Your debts'!$F$6),BA216,0)))))</f>
        <v/>
      </c>
      <c r="J216" s="33">
        <f>H216-I216</f>
        <v/>
      </c>
      <c r="K216" s="33">
        <f>IF(O215&lt;=0,0,ROUND(O215*(1+'Your debts'!$D$7/1200),2))</f>
        <v/>
      </c>
      <c r="L216" s="33">
        <f>IF(K216&lt;=0,0,MIN('Your debts'!$E$7,K216))</f>
        <v/>
      </c>
      <c r="M216" s="33">
        <f>K216-L216</f>
        <v/>
      </c>
      <c r="N216" s="33">
        <f>IF('Your debts'!$F$7="",0,MIN(M216,MAX(0,MAX(0,'Your debts'!$C$19-(G216+L216+Q216+V216+AA216+AF216+AK216+AP216+AU216+AZ216))-(IF(AND('Your debts'!$F$6&lt;&gt;"",'Your debts'!$F$7&lt;&gt;"",'Your debts'!$F$6&lt;'Your debts'!$F$7),H216,0)+IF(AND('Your debts'!$F$8&lt;&gt;"",'Your debts'!$F$7&lt;&gt;"",'Your debts'!$F$8&lt;'Your debts'!$F$7),R216,0)+IF(AND('Your debts'!$F$9&lt;&gt;"",'Your debts'!$F$7&lt;&gt;"",'Your debts'!$F$9&lt;'Your debts'!$F$7),W216,0)+IF(AND('Your debts'!$F$10&lt;&gt;"",'Your debts'!$F$7&lt;&gt;"",'Your debts'!$F$10&lt;'Your debts'!$F$7),AB216,0)+IF(AND('Your debts'!$F$11&lt;&gt;"",'Your debts'!$F$7&lt;&gt;"",'Your debts'!$F$11&lt;'Your debts'!$F$7),AG216,0)+IF(AND('Your debts'!$F$12&lt;&gt;"",'Your debts'!$F$7&lt;&gt;"",'Your debts'!$F$12&lt;'Your debts'!$F$7),AL216,0)+IF(AND('Your debts'!$F$13&lt;&gt;"",'Your debts'!$F$7&lt;&gt;"",'Your debts'!$F$13&lt;'Your debts'!$F$7),AQ216,0)+IF(AND('Your debts'!$F$14&lt;&gt;"",'Your debts'!$F$7&lt;&gt;"",'Your debts'!$F$14&lt;'Your debts'!$F$7),AV216,0)+IF(AND('Your debts'!$F$15&lt;&gt;"",'Your debts'!$F$7&lt;&gt;"",'Your debts'!$F$15&lt;'Your debts'!$F$7),BA216,0)))))</f>
        <v/>
      </c>
      <c r="O216" s="33">
        <f>M216-N216</f>
        <v/>
      </c>
      <c r="P216" s="33">
        <f>IF(T215&lt;=0,0,ROUND(T215*(1+'Your debts'!$D$8/1200),2))</f>
        <v/>
      </c>
      <c r="Q216" s="33">
        <f>IF(P216&lt;=0,0,MIN('Your debts'!$E$8,P216))</f>
        <v/>
      </c>
      <c r="R216" s="33">
        <f>P216-Q216</f>
        <v/>
      </c>
      <c r="S216" s="33">
        <f>IF('Your debts'!$F$8="",0,MIN(R216,MAX(0,MAX(0,'Your debts'!$C$19-(G216+L216+Q216+V216+AA216+AF216+AK216+AP216+AU216+AZ216))-(IF(AND('Your debts'!$F$6&lt;&gt;"",'Your debts'!$F$8&lt;&gt;"",'Your debts'!$F$6&lt;'Your debts'!$F$8),H216,0)+IF(AND('Your debts'!$F$7&lt;&gt;"",'Your debts'!$F$8&lt;&gt;"",'Your debts'!$F$7&lt;'Your debts'!$F$8),M216,0)+IF(AND('Your debts'!$F$9&lt;&gt;"",'Your debts'!$F$8&lt;&gt;"",'Your debts'!$F$9&lt;'Your debts'!$F$8),W216,0)+IF(AND('Your debts'!$F$10&lt;&gt;"",'Your debts'!$F$8&lt;&gt;"",'Your debts'!$F$10&lt;'Your debts'!$F$8),AB216,0)+IF(AND('Your debts'!$F$11&lt;&gt;"",'Your debts'!$F$8&lt;&gt;"",'Your debts'!$F$11&lt;'Your debts'!$F$8),AG216,0)+IF(AND('Your debts'!$F$12&lt;&gt;"",'Your debts'!$F$8&lt;&gt;"",'Your debts'!$F$12&lt;'Your debts'!$F$8),AL216,0)+IF(AND('Your debts'!$F$13&lt;&gt;"",'Your debts'!$F$8&lt;&gt;"",'Your debts'!$F$13&lt;'Your debts'!$F$8),AQ216,0)+IF(AND('Your debts'!$F$14&lt;&gt;"",'Your debts'!$F$8&lt;&gt;"",'Your debts'!$F$14&lt;'Your debts'!$F$8),AV216,0)+IF(AND('Your debts'!$F$15&lt;&gt;"",'Your debts'!$F$8&lt;&gt;"",'Your debts'!$F$15&lt;'Your debts'!$F$8),BA216,0)))))</f>
        <v/>
      </c>
      <c r="T216" s="33">
        <f>R216-S216</f>
        <v/>
      </c>
      <c r="U216" s="33">
        <f>IF(Y215&lt;=0,0,ROUND(Y215*(1+'Your debts'!$D$9/1200),2))</f>
        <v/>
      </c>
      <c r="V216" s="33">
        <f>IF(U216&lt;=0,0,MIN('Your debts'!$E$9,U216))</f>
        <v/>
      </c>
      <c r="W216" s="33">
        <f>U216-V216</f>
        <v/>
      </c>
      <c r="X216" s="33">
        <f>IF('Your debts'!$F$9="",0,MIN(W216,MAX(0,MAX(0,'Your debts'!$C$19-(G216+L216+Q216+V216+AA216+AF216+AK216+AP216+AU216+AZ216))-(IF(AND('Your debts'!$F$6&lt;&gt;"",'Your debts'!$F$9&lt;&gt;"",'Your debts'!$F$6&lt;'Your debts'!$F$9),H216,0)+IF(AND('Your debts'!$F$7&lt;&gt;"",'Your debts'!$F$9&lt;&gt;"",'Your debts'!$F$7&lt;'Your debts'!$F$9),M216,0)+IF(AND('Your debts'!$F$8&lt;&gt;"",'Your debts'!$F$9&lt;&gt;"",'Your debts'!$F$8&lt;'Your debts'!$F$9),R216,0)+IF(AND('Your debts'!$F$10&lt;&gt;"",'Your debts'!$F$9&lt;&gt;"",'Your debts'!$F$10&lt;'Your debts'!$F$9),AB216,0)+IF(AND('Your debts'!$F$11&lt;&gt;"",'Your debts'!$F$9&lt;&gt;"",'Your debts'!$F$11&lt;'Your debts'!$F$9),AG216,0)+IF(AND('Your debts'!$F$12&lt;&gt;"",'Your debts'!$F$9&lt;&gt;"",'Your debts'!$F$12&lt;'Your debts'!$F$9),AL216,0)+IF(AND('Your debts'!$F$13&lt;&gt;"",'Your debts'!$F$9&lt;&gt;"",'Your debts'!$F$13&lt;'Your debts'!$F$9),AQ216,0)+IF(AND('Your debts'!$F$14&lt;&gt;"",'Your debts'!$F$9&lt;&gt;"",'Your debts'!$F$14&lt;'Your debts'!$F$9),AV216,0)+IF(AND('Your debts'!$F$15&lt;&gt;"",'Your debts'!$F$9&lt;&gt;"",'Your debts'!$F$15&lt;'Your debts'!$F$9),BA216,0)))))</f>
        <v/>
      </c>
      <c r="Y216" s="33">
        <f>W216-X216</f>
        <v/>
      </c>
      <c r="Z216" s="33">
        <f>IF(AD215&lt;=0,0,ROUND(AD215*(1+'Your debts'!$D$10/1200),2))</f>
        <v/>
      </c>
      <c r="AA216" s="33">
        <f>IF(Z216&lt;=0,0,MIN('Your debts'!$E$10,Z216))</f>
        <v/>
      </c>
      <c r="AB216" s="33">
        <f>Z216-AA216</f>
        <v/>
      </c>
      <c r="AC216" s="33">
        <f>IF('Your debts'!$F$10="",0,MIN(AB216,MAX(0,MAX(0,'Your debts'!$C$19-(G216+L216+Q216+V216+AA216+AF216+AK216+AP216+AU216+AZ216))-(IF(AND('Your debts'!$F$6&lt;&gt;"",'Your debts'!$F$10&lt;&gt;"",'Your debts'!$F$6&lt;'Your debts'!$F$10),H216,0)+IF(AND('Your debts'!$F$7&lt;&gt;"",'Your debts'!$F$10&lt;&gt;"",'Your debts'!$F$7&lt;'Your debts'!$F$10),M216,0)+IF(AND('Your debts'!$F$8&lt;&gt;"",'Your debts'!$F$10&lt;&gt;"",'Your debts'!$F$8&lt;'Your debts'!$F$10),R216,0)+IF(AND('Your debts'!$F$9&lt;&gt;"",'Your debts'!$F$10&lt;&gt;"",'Your debts'!$F$9&lt;'Your debts'!$F$10),W216,0)+IF(AND('Your debts'!$F$11&lt;&gt;"",'Your debts'!$F$10&lt;&gt;"",'Your debts'!$F$11&lt;'Your debts'!$F$10),AG216,0)+IF(AND('Your debts'!$F$12&lt;&gt;"",'Your debts'!$F$10&lt;&gt;"",'Your debts'!$F$12&lt;'Your debts'!$F$10),AL216,0)+IF(AND('Your debts'!$F$13&lt;&gt;"",'Your debts'!$F$10&lt;&gt;"",'Your debts'!$F$13&lt;'Your debts'!$F$10),AQ216,0)+IF(AND('Your debts'!$F$14&lt;&gt;"",'Your debts'!$F$10&lt;&gt;"",'Your debts'!$F$14&lt;'Your debts'!$F$10),AV216,0)+IF(AND('Your debts'!$F$15&lt;&gt;"",'Your debts'!$F$10&lt;&gt;"",'Your debts'!$F$15&lt;'Your debts'!$F$10),BA216,0)))))</f>
        <v/>
      </c>
      <c r="AD216" s="33">
        <f>AB216-AC216</f>
        <v/>
      </c>
      <c r="AE216" s="33">
        <f>IF(AI215&lt;=0,0,ROUND(AI215*(1+'Your debts'!$D$11/1200),2))</f>
        <v/>
      </c>
      <c r="AF216" s="33">
        <f>IF(AE216&lt;=0,0,MIN('Your debts'!$E$11,AE216))</f>
        <v/>
      </c>
      <c r="AG216" s="33">
        <f>AE216-AF216</f>
        <v/>
      </c>
      <c r="AH216" s="33">
        <f>IF('Your debts'!$F$11="",0,MIN(AG216,MAX(0,MAX(0,'Your debts'!$C$19-(G216+L216+Q216+V216+AA216+AF216+AK216+AP216+AU216+AZ216))-(IF(AND('Your debts'!$F$6&lt;&gt;"",'Your debts'!$F$11&lt;&gt;"",'Your debts'!$F$6&lt;'Your debts'!$F$11),H216,0)+IF(AND('Your debts'!$F$7&lt;&gt;"",'Your debts'!$F$11&lt;&gt;"",'Your debts'!$F$7&lt;'Your debts'!$F$11),M216,0)+IF(AND('Your debts'!$F$8&lt;&gt;"",'Your debts'!$F$11&lt;&gt;"",'Your debts'!$F$8&lt;'Your debts'!$F$11),R216,0)+IF(AND('Your debts'!$F$9&lt;&gt;"",'Your debts'!$F$11&lt;&gt;"",'Your debts'!$F$9&lt;'Your debts'!$F$11),W216,0)+IF(AND('Your debts'!$F$10&lt;&gt;"",'Your debts'!$F$11&lt;&gt;"",'Your debts'!$F$10&lt;'Your debts'!$F$11),AB216,0)+IF(AND('Your debts'!$F$12&lt;&gt;"",'Your debts'!$F$11&lt;&gt;"",'Your debts'!$F$12&lt;'Your debts'!$F$11),AL216,0)+IF(AND('Your debts'!$F$13&lt;&gt;"",'Your debts'!$F$11&lt;&gt;"",'Your debts'!$F$13&lt;'Your debts'!$F$11),AQ216,0)+IF(AND('Your debts'!$F$14&lt;&gt;"",'Your debts'!$F$11&lt;&gt;"",'Your debts'!$F$14&lt;'Your debts'!$F$11),AV216,0)+IF(AND('Your debts'!$F$15&lt;&gt;"",'Your debts'!$F$11&lt;&gt;"",'Your debts'!$F$15&lt;'Your debts'!$F$11),BA216,0)))))</f>
        <v/>
      </c>
      <c r="AI216" s="33">
        <f>AG216-AH216</f>
        <v/>
      </c>
      <c r="AJ216" s="33">
        <f>IF(AN215&lt;=0,0,ROUND(AN215*(1+'Your debts'!$D$12/1200),2))</f>
        <v/>
      </c>
      <c r="AK216" s="33">
        <f>IF(AJ216&lt;=0,0,MIN('Your debts'!$E$12,AJ216))</f>
        <v/>
      </c>
      <c r="AL216" s="33">
        <f>AJ216-AK216</f>
        <v/>
      </c>
      <c r="AM216" s="33">
        <f>IF('Your debts'!$F$12="",0,MIN(AL216,MAX(0,MAX(0,'Your debts'!$C$19-(G216+L216+Q216+V216+AA216+AF216+AK216+AP216+AU216+AZ216))-(IF(AND('Your debts'!$F$6&lt;&gt;"",'Your debts'!$F$12&lt;&gt;"",'Your debts'!$F$6&lt;'Your debts'!$F$12),H216,0)+IF(AND('Your debts'!$F$7&lt;&gt;"",'Your debts'!$F$12&lt;&gt;"",'Your debts'!$F$7&lt;'Your debts'!$F$12),M216,0)+IF(AND('Your debts'!$F$8&lt;&gt;"",'Your debts'!$F$12&lt;&gt;"",'Your debts'!$F$8&lt;'Your debts'!$F$12),R216,0)+IF(AND('Your debts'!$F$9&lt;&gt;"",'Your debts'!$F$12&lt;&gt;"",'Your debts'!$F$9&lt;'Your debts'!$F$12),W216,0)+IF(AND('Your debts'!$F$10&lt;&gt;"",'Your debts'!$F$12&lt;&gt;"",'Your debts'!$F$10&lt;'Your debts'!$F$12),AB216,0)+IF(AND('Your debts'!$F$11&lt;&gt;"",'Your debts'!$F$12&lt;&gt;"",'Your debts'!$F$11&lt;'Your debts'!$F$12),AG216,0)+IF(AND('Your debts'!$F$13&lt;&gt;"",'Your debts'!$F$12&lt;&gt;"",'Your debts'!$F$13&lt;'Your debts'!$F$12),AQ216,0)+IF(AND('Your debts'!$F$14&lt;&gt;"",'Your debts'!$F$12&lt;&gt;"",'Your debts'!$F$14&lt;'Your debts'!$F$12),AV216,0)+IF(AND('Your debts'!$F$15&lt;&gt;"",'Your debts'!$F$12&lt;&gt;"",'Your debts'!$F$15&lt;'Your debts'!$F$12),BA216,0)))))</f>
        <v/>
      </c>
      <c r="AN216" s="33">
        <f>AL216-AM216</f>
        <v/>
      </c>
      <c r="AO216" s="33">
        <f>IF(AS215&lt;=0,0,ROUND(AS215*(1+'Your debts'!$D$13/1200),2))</f>
        <v/>
      </c>
      <c r="AP216" s="33">
        <f>IF(AO216&lt;=0,0,MIN('Your debts'!$E$13,AO216))</f>
        <v/>
      </c>
      <c r="AQ216" s="33">
        <f>AO216-AP216</f>
        <v/>
      </c>
      <c r="AR216" s="33">
        <f>IF('Your debts'!$F$13="",0,MIN(AQ216,MAX(0,MAX(0,'Your debts'!$C$19-(G216+L216+Q216+V216+AA216+AF216+AK216+AP216+AU216+AZ216))-(IF(AND('Your debts'!$F$6&lt;&gt;"",'Your debts'!$F$13&lt;&gt;"",'Your debts'!$F$6&lt;'Your debts'!$F$13),H216,0)+IF(AND('Your debts'!$F$7&lt;&gt;"",'Your debts'!$F$13&lt;&gt;"",'Your debts'!$F$7&lt;'Your debts'!$F$13),M216,0)+IF(AND('Your debts'!$F$8&lt;&gt;"",'Your debts'!$F$13&lt;&gt;"",'Your debts'!$F$8&lt;'Your debts'!$F$13),R216,0)+IF(AND('Your debts'!$F$9&lt;&gt;"",'Your debts'!$F$13&lt;&gt;"",'Your debts'!$F$9&lt;'Your debts'!$F$13),W216,0)+IF(AND('Your debts'!$F$10&lt;&gt;"",'Your debts'!$F$13&lt;&gt;"",'Your debts'!$F$10&lt;'Your debts'!$F$13),AB216,0)+IF(AND('Your debts'!$F$11&lt;&gt;"",'Your debts'!$F$13&lt;&gt;"",'Your debts'!$F$11&lt;'Your debts'!$F$13),AG216,0)+IF(AND('Your debts'!$F$12&lt;&gt;"",'Your debts'!$F$13&lt;&gt;"",'Your debts'!$F$12&lt;'Your debts'!$F$13),AL216,0)+IF(AND('Your debts'!$F$14&lt;&gt;"",'Your debts'!$F$13&lt;&gt;"",'Your debts'!$F$14&lt;'Your debts'!$F$13),AV216,0)+IF(AND('Your debts'!$F$15&lt;&gt;"",'Your debts'!$F$13&lt;&gt;"",'Your debts'!$F$15&lt;'Your debts'!$F$13),BA216,0)))))</f>
        <v/>
      </c>
      <c r="AS216" s="33">
        <f>AQ216-AR216</f>
        <v/>
      </c>
      <c r="AT216" s="33">
        <f>IF(AX215&lt;=0,0,ROUND(AX215*(1+'Your debts'!$D$14/1200),2))</f>
        <v/>
      </c>
      <c r="AU216" s="33">
        <f>IF(AT216&lt;=0,0,MIN('Your debts'!$E$14,AT216))</f>
        <v/>
      </c>
      <c r="AV216" s="33">
        <f>AT216-AU216</f>
        <v/>
      </c>
      <c r="AW216" s="33">
        <f>IF('Your debts'!$F$14="",0,MIN(AV216,MAX(0,MAX(0,'Your debts'!$C$19-(G216+L216+Q216+V216+AA216+AF216+AK216+AP216+AU216+AZ216))-(IF(AND('Your debts'!$F$6&lt;&gt;"",'Your debts'!$F$14&lt;&gt;"",'Your debts'!$F$6&lt;'Your debts'!$F$14),H216,0)+IF(AND('Your debts'!$F$7&lt;&gt;"",'Your debts'!$F$14&lt;&gt;"",'Your debts'!$F$7&lt;'Your debts'!$F$14),M216,0)+IF(AND('Your debts'!$F$8&lt;&gt;"",'Your debts'!$F$14&lt;&gt;"",'Your debts'!$F$8&lt;'Your debts'!$F$14),R216,0)+IF(AND('Your debts'!$F$9&lt;&gt;"",'Your debts'!$F$14&lt;&gt;"",'Your debts'!$F$9&lt;'Your debts'!$F$14),W216,0)+IF(AND('Your debts'!$F$10&lt;&gt;"",'Your debts'!$F$14&lt;&gt;"",'Your debts'!$F$10&lt;'Your debts'!$F$14),AB216,0)+IF(AND('Your debts'!$F$11&lt;&gt;"",'Your debts'!$F$14&lt;&gt;"",'Your debts'!$F$11&lt;'Your debts'!$F$14),AG216,0)+IF(AND('Your debts'!$F$12&lt;&gt;"",'Your debts'!$F$14&lt;&gt;"",'Your debts'!$F$12&lt;'Your debts'!$F$14),AL216,0)+IF(AND('Your debts'!$F$13&lt;&gt;"",'Your debts'!$F$14&lt;&gt;"",'Your debts'!$F$13&lt;'Your debts'!$F$14),AQ216,0)+IF(AND('Your debts'!$F$15&lt;&gt;"",'Your debts'!$F$14&lt;&gt;"",'Your debts'!$F$15&lt;'Your debts'!$F$14),BA216,0)))))</f>
        <v/>
      </c>
      <c r="AX216" s="33">
        <f>AV216-AW216</f>
        <v/>
      </c>
      <c r="AY216" s="33">
        <f>IF(BC215&lt;=0,0,ROUND(BC215*(1+'Your debts'!$D$15/1200),2))</f>
        <v/>
      </c>
      <c r="AZ216" s="33">
        <f>IF(AY216&lt;=0,0,MIN('Your debts'!$E$15,AY216))</f>
        <v/>
      </c>
      <c r="BA216" s="33">
        <f>AY216-AZ216</f>
        <v/>
      </c>
      <c r="BB216" s="33">
        <f>IF('Your debts'!$F$15="",0,MIN(BA216,MAX(0,MAX(0,'Your debts'!$C$19-(G216+L216+Q216+V216+AA216+AF216+AK216+AP216+AU216+AZ216))-(IF(AND('Your debts'!$F$6&lt;&gt;"",'Your debts'!$F$15&lt;&gt;"",'Your debts'!$F$6&lt;'Your debts'!$F$15),H216,0)+IF(AND('Your debts'!$F$7&lt;&gt;"",'Your debts'!$F$15&lt;&gt;"",'Your debts'!$F$7&lt;'Your debts'!$F$15),M216,0)+IF(AND('Your debts'!$F$8&lt;&gt;"",'Your debts'!$F$15&lt;&gt;"",'Your debts'!$F$8&lt;'Your debts'!$F$15),R216,0)+IF(AND('Your debts'!$F$9&lt;&gt;"",'Your debts'!$F$15&lt;&gt;"",'Your debts'!$F$9&lt;'Your debts'!$F$15),W216,0)+IF(AND('Your debts'!$F$10&lt;&gt;"",'Your debts'!$F$15&lt;&gt;"",'Your debts'!$F$10&lt;'Your debts'!$F$15),AB216,0)+IF(AND('Your debts'!$F$11&lt;&gt;"",'Your debts'!$F$15&lt;&gt;"",'Your debts'!$F$11&lt;'Your debts'!$F$15),AG216,0)+IF(AND('Your debts'!$F$12&lt;&gt;"",'Your debts'!$F$15&lt;&gt;"",'Your debts'!$F$12&lt;'Your debts'!$F$15),AL216,0)+IF(AND('Your debts'!$F$13&lt;&gt;"",'Your debts'!$F$15&lt;&gt;"",'Your debts'!$F$13&lt;'Your debts'!$F$15),AQ216,0)+IF(AND('Your debts'!$F$14&lt;&gt;"",'Your debts'!$F$15&lt;&gt;"",'Your debts'!$F$14&lt;'Your debts'!$F$15),AV216,0)))))</f>
        <v/>
      </c>
      <c r="BC216" s="33">
        <f>BA216-BB216</f>
        <v/>
      </c>
    </row>
    <row r="217">
      <c r="A217" s="30" t="n">
        <v>202</v>
      </c>
      <c r="B217" s="31">
        <f>EDATE($B$15,202)</f>
        <v/>
      </c>
      <c r="C217" s="32">
        <f>IF(J216&lt;=0,0,F217-J216)+IF(O216&lt;=0,0,K217-O216)+IF(T216&lt;=0,0,P217-T216)+IF(Y216&lt;=0,0,U217-Y216)+IF(AD216&lt;=0,0,Z217-AD216)+IF(AI216&lt;=0,0,AE217-AI216)+IF(AN216&lt;=0,0,AJ217-AN216)+IF(AS216&lt;=0,0,AO217-AS216)+IF(AX216&lt;=0,0,AT217-AX216)+IF(BC216&lt;=0,0,AY217-BC216)</f>
        <v/>
      </c>
      <c r="D217" s="32">
        <f>G217+I217+L217+N217+Q217+S217+V217+X217+AA217+AC217+AF217+AH217+AK217+AM217+AP217+AR217+AU217+AW217+AZ217+BB217</f>
        <v/>
      </c>
      <c r="E217" s="32">
        <f>J217+O217+T217+Y217+AD217+AI217+AN217+AS217+AX217+BC217</f>
        <v/>
      </c>
      <c r="F217" s="33">
        <f>IF(J216&lt;=0,0,ROUND(J216*(1+'Your debts'!$D$6/1200),2))</f>
        <v/>
      </c>
      <c r="G217" s="33">
        <f>IF(F217&lt;=0,0,MIN('Your debts'!$E$6,F217))</f>
        <v/>
      </c>
      <c r="H217" s="33">
        <f>F217-G217</f>
        <v/>
      </c>
      <c r="I217" s="33">
        <f>IF('Your debts'!$F$6="",0,MIN(H217,MAX(0,MAX(0,'Your debts'!$C$19-(G217+L217+Q217+V217+AA217+AF217+AK217+AP217+AU217+AZ217))-(IF(AND('Your debts'!$F$7&lt;&gt;"",'Your debts'!$F$6&lt;&gt;"",'Your debts'!$F$7&lt;'Your debts'!$F$6),M217,0)+IF(AND('Your debts'!$F$8&lt;&gt;"",'Your debts'!$F$6&lt;&gt;"",'Your debts'!$F$8&lt;'Your debts'!$F$6),R217,0)+IF(AND('Your debts'!$F$9&lt;&gt;"",'Your debts'!$F$6&lt;&gt;"",'Your debts'!$F$9&lt;'Your debts'!$F$6),W217,0)+IF(AND('Your debts'!$F$10&lt;&gt;"",'Your debts'!$F$6&lt;&gt;"",'Your debts'!$F$10&lt;'Your debts'!$F$6),AB217,0)+IF(AND('Your debts'!$F$11&lt;&gt;"",'Your debts'!$F$6&lt;&gt;"",'Your debts'!$F$11&lt;'Your debts'!$F$6),AG217,0)+IF(AND('Your debts'!$F$12&lt;&gt;"",'Your debts'!$F$6&lt;&gt;"",'Your debts'!$F$12&lt;'Your debts'!$F$6),AL217,0)+IF(AND('Your debts'!$F$13&lt;&gt;"",'Your debts'!$F$6&lt;&gt;"",'Your debts'!$F$13&lt;'Your debts'!$F$6),AQ217,0)+IF(AND('Your debts'!$F$14&lt;&gt;"",'Your debts'!$F$6&lt;&gt;"",'Your debts'!$F$14&lt;'Your debts'!$F$6),AV217,0)+IF(AND('Your debts'!$F$15&lt;&gt;"",'Your debts'!$F$6&lt;&gt;"",'Your debts'!$F$15&lt;'Your debts'!$F$6),BA217,0)))))</f>
        <v/>
      </c>
      <c r="J217" s="33">
        <f>H217-I217</f>
        <v/>
      </c>
      <c r="K217" s="33">
        <f>IF(O216&lt;=0,0,ROUND(O216*(1+'Your debts'!$D$7/1200),2))</f>
        <v/>
      </c>
      <c r="L217" s="33">
        <f>IF(K217&lt;=0,0,MIN('Your debts'!$E$7,K217))</f>
        <v/>
      </c>
      <c r="M217" s="33">
        <f>K217-L217</f>
        <v/>
      </c>
      <c r="N217" s="33">
        <f>IF('Your debts'!$F$7="",0,MIN(M217,MAX(0,MAX(0,'Your debts'!$C$19-(G217+L217+Q217+V217+AA217+AF217+AK217+AP217+AU217+AZ217))-(IF(AND('Your debts'!$F$6&lt;&gt;"",'Your debts'!$F$7&lt;&gt;"",'Your debts'!$F$6&lt;'Your debts'!$F$7),H217,0)+IF(AND('Your debts'!$F$8&lt;&gt;"",'Your debts'!$F$7&lt;&gt;"",'Your debts'!$F$8&lt;'Your debts'!$F$7),R217,0)+IF(AND('Your debts'!$F$9&lt;&gt;"",'Your debts'!$F$7&lt;&gt;"",'Your debts'!$F$9&lt;'Your debts'!$F$7),W217,0)+IF(AND('Your debts'!$F$10&lt;&gt;"",'Your debts'!$F$7&lt;&gt;"",'Your debts'!$F$10&lt;'Your debts'!$F$7),AB217,0)+IF(AND('Your debts'!$F$11&lt;&gt;"",'Your debts'!$F$7&lt;&gt;"",'Your debts'!$F$11&lt;'Your debts'!$F$7),AG217,0)+IF(AND('Your debts'!$F$12&lt;&gt;"",'Your debts'!$F$7&lt;&gt;"",'Your debts'!$F$12&lt;'Your debts'!$F$7),AL217,0)+IF(AND('Your debts'!$F$13&lt;&gt;"",'Your debts'!$F$7&lt;&gt;"",'Your debts'!$F$13&lt;'Your debts'!$F$7),AQ217,0)+IF(AND('Your debts'!$F$14&lt;&gt;"",'Your debts'!$F$7&lt;&gt;"",'Your debts'!$F$14&lt;'Your debts'!$F$7),AV217,0)+IF(AND('Your debts'!$F$15&lt;&gt;"",'Your debts'!$F$7&lt;&gt;"",'Your debts'!$F$15&lt;'Your debts'!$F$7),BA217,0)))))</f>
        <v/>
      </c>
      <c r="O217" s="33">
        <f>M217-N217</f>
        <v/>
      </c>
      <c r="P217" s="33">
        <f>IF(T216&lt;=0,0,ROUND(T216*(1+'Your debts'!$D$8/1200),2))</f>
        <v/>
      </c>
      <c r="Q217" s="33">
        <f>IF(P217&lt;=0,0,MIN('Your debts'!$E$8,P217))</f>
        <v/>
      </c>
      <c r="R217" s="33">
        <f>P217-Q217</f>
        <v/>
      </c>
      <c r="S217" s="33">
        <f>IF('Your debts'!$F$8="",0,MIN(R217,MAX(0,MAX(0,'Your debts'!$C$19-(G217+L217+Q217+V217+AA217+AF217+AK217+AP217+AU217+AZ217))-(IF(AND('Your debts'!$F$6&lt;&gt;"",'Your debts'!$F$8&lt;&gt;"",'Your debts'!$F$6&lt;'Your debts'!$F$8),H217,0)+IF(AND('Your debts'!$F$7&lt;&gt;"",'Your debts'!$F$8&lt;&gt;"",'Your debts'!$F$7&lt;'Your debts'!$F$8),M217,0)+IF(AND('Your debts'!$F$9&lt;&gt;"",'Your debts'!$F$8&lt;&gt;"",'Your debts'!$F$9&lt;'Your debts'!$F$8),W217,0)+IF(AND('Your debts'!$F$10&lt;&gt;"",'Your debts'!$F$8&lt;&gt;"",'Your debts'!$F$10&lt;'Your debts'!$F$8),AB217,0)+IF(AND('Your debts'!$F$11&lt;&gt;"",'Your debts'!$F$8&lt;&gt;"",'Your debts'!$F$11&lt;'Your debts'!$F$8),AG217,0)+IF(AND('Your debts'!$F$12&lt;&gt;"",'Your debts'!$F$8&lt;&gt;"",'Your debts'!$F$12&lt;'Your debts'!$F$8),AL217,0)+IF(AND('Your debts'!$F$13&lt;&gt;"",'Your debts'!$F$8&lt;&gt;"",'Your debts'!$F$13&lt;'Your debts'!$F$8),AQ217,0)+IF(AND('Your debts'!$F$14&lt;&gt;"",'Your debts'!$F$8&lt;&gt;"",'Your debts'!$F$14&lt;'Your debts'!$F$8),AV217,0)+IF(AND('Your debts'!$F$15&lt;&gt;"",'Your debts'!$F$8&lt;&gt;"",'Your debts'!$F$15&lt;'Your debts'!$F$8),BA217,0)))))</f>
        <v/>
      </c>
      <c r="T217" s="33">
        <f>R217-S217</f>
        <v/>
      </c>
      <c r="U217" s="33">
        <f>IF(Y216&lt;=0,0,ROUND(Y216*(1+'Your debts'!$D$9/1200),2))</f>
        <v/>
      </c>
      <c r="V217" s="33">
        <f>IF(U217&lt;=0,0,MIN('Your debts'!$E$9,U217))</f>
        <v/>
      </c>
      <c r="W217" s="33">
        <f>U217-V217</f>
        <v/>
      </c>
      <c r="X217" s="33">
        <f>IF('Your debts'!$F$9="",0,MIN(W217,MAX(0,MAX(0,'Your debts'!$C$19-(G217+L217+Q217+V217+AA217+AF217+AK217+AP217+AU217+AZ217))-(IF(AND('Your debts'!$F$6&lt;&gt;"",'Your debts'!$F$9&lt;&gt;"",'Your debts'!$F$6&lt;'Your debts'!$F$9),H217,0)+IF(AND('Your debts'!$F$7&lt;&gt;"",'Your debts'!$F$9&lt;&gt;"",'Your debts'!$F$7&lt;'Your debts'!$F$9),M217,0)+IF(AND('Your debts'!$F$8&lt;&gt;"",'Your debts'!$F$9&lt;&gt;"",'Your debts'!$F$8&lt;'Your debts'!$F$9),R217,0)+IF(AND('Your debts'!$F$10&lt;&gt;"",'Your debts'!$F$9&lt;&gt;"",'Your debts'!$F$10&lt;'Your debts'!$F$9),AB217,0)+IF(AND('Your debts'!$F$11&lt;&gt;"",'Your debts'!$F$9&lt;&gt;"",'Your debts'!$F$11&lt;'Your debts'!$F$9),AG217,0)+IF(AND('Your debts'!$F$12&lt;&gt;"",'Your debts'!$F$9&lt;&gt;"",'Your debts'!$F$12&lt;'Your debts'!$F$9),AL217,0)+IF(AND('Your debts'!$F$13&lt;&gt;"",'Your debts'!$F$9&lt;&gt;"",'Your debts'!$F$13&lt;'Your debts'!$F$9),AQ217,0)+IF(AND('Your debts'!$F$14&lt;&gt;"",'Your debts'!$F$9&lt;&gt;"",'Your debts'!$F$14&lt;'Your debts'!$F$9),AV217,0)+IF(AND('Your debts'!$F$15&lt;&gt;"",'Your debts'!$F$9&lt;&gt;"",'Your debts'!$F$15&lt;'Your debts'!$F$9),BA217,0)))))</f>
        <v/>
      </c>
      <c r="Y217" s="33">
        <f>W217-X217</f>
        <v/>
      </c>
      <c r="Z217" s="33">
        <f>IF(AD216&lt;=0,0,ROUND(AD216*(1+'Your debts'!$D$10/1200),2))</f>
        <v/>
      </c>
      <c r="AA217" s="33">
        <f>IF(Z217&lt;=0,0,MIN('Your debts'!$E$10,Z217))</f>
        <v/>
      </c>
      <c r="AB217" s="33">
        <f>Z217-AA217</f>
        <v/>
      </c>
      <c r="AC217" s="33">
        <f>IF('Your debts'!$F$10="",0,MIN(AB217,MAX(0,MAX(0,'Your debts'!$C$19-(G217+L217+Q217+V217+AA217+AF217+AK217+AP217+AU217+AZ217))-(IF(AND('Your debts'!$F$6&lt;&gt;"",'Your debts'!$F$10&lt;&gt;"",'Your debts'!$F$6&lt;'Your debts'!$F$10),H217,0)+IF(AND('Your debts'!$F$7&lt;&gt;"",'Your debts'!$F$10&lt;&gt;"",'Your debts'!$F$7&lt;'Your debts'!$F$10),M217,0)+IF(AND('Your debts'!$F$8&lt;&gt;"",'Your debts'!$F$10&lt;&gt;"",'Your debts'!$F$8&lt;'Your debts'!$F$10),R217,0)+IF(AND('Your debts'!$F$9&lt;&gt;"",'Your debts'!$F$10&lt;&gt;"",'Your debts'!$F$9&lt;'Your debts'!$F$10),W217,0)+IF(AND('Your debts'!$F$11&lt;&gt;"",'Your debts'!$F$10&lt;&gt;"",'Your debts'!$F$11&lt;'Your debts'!$F$10),AG217,0)+IF(AND('Your debts'!$F$12&lt;&gt;"",'Your debts'!$F$10&lt;&gt;"",'Your debts'!$F$12&lt;'Your debts'!$F$10),AL217,0)+IF(AND('Your debts'!$F$13&lt;&gt;"",'Your debts'!$F$10&lt;&gt;"",'Your debts'!$F$13&lt;'Your debts'!$F$10),AQ217,0)+IF(AND('Your debts'!$F$14&lt;&gt;"",'Your debts'!$F$10&lt;&gt;"",'Your debts'!$F$14&lt;'Your debts'!$F$10),AV217,0)+IF(AND('Your debts'!$F$15&lt;&gt;"",'Your debts'!$F$10&lt;&gt;"",'Your debts'!$F$15&lt;'Your debts'!$F$10),BA217,0)))))</f>
        <v/>
      </c>
      <c r="AD217" s="33">
        <f>AB217-AC217</f>
        <v/>
      </c>
      <c r="AE217" s="33">
        <f>IF(AI216&lt;=0,0,ROUND(AI216*(1+'Your debts'!$D$11/1200),2))</f>
        <v/>
      </c>
      <c r="AF217" s="33">
        <f>IF(AE217&lt;=0,0,MIN('Your debts'!$E$11,AE217))</f>
        <v/>
      </c>
      <c r="AG217" s="33">
        <f>AE217-AF217</f>
        <v/>
      </c>
      <c r="AH217" s="33">
        <f>IF('Your debts'!$F$11="",0,MIN(AG217,MAX(0,MAX(0,'Your debts'!$C$19-(G217+L217+Q217+V217+AA217+AF217+AK217+AP217+AU217+AZ217))-(IF(AND('Your debts'!$F$6&lt;&gt;"",'Your debts'!$F$11&lt;&gt;"",'Your debts'!$F$6&lt;'Your debts'!$F$11),H217,0)+IF(AND('Your debts'!$F$7&lt;&gt;"",'Your debts'!$F$11&lt;&gt;"",'Your debts'!$F$7&lt;'Your debts'!$F$11),M217,0)+IF(AND('Your debts'!$F$8&lt;&gt;"",'Your debts'!$F$11&lt;&gt;"",'Your debts'!$F$8&lt;'Your debts'!$F$11),R217,0)+IF(AND('Your debts'!$F$9&lt;&gt;"",'Your debts'!$F$11&lt;&gt;"",'Your debts'!$F$9&lt;'Your debts'!$F$11),W217,0)+IF(AND('Your debts'!$F$10&lt;&gt;"",'Your debts'!$F$11&lt;&gt;"",'Your debts'!$F$10&lt;'Your debts'!$F$11),AB217,0)+IF(AND('Your debts'!$F$12&lt;&gt;"",'Your debts'!$F$11&lt;&gt;"",'Your debts'!$F$12&lt;'Your debts'!$F$11),AL217,0)+IF(AND('Your debts'!$F$13&lt;&gt;"",'Your debts'!$F$11&lt;&gt;"",'Your debts'!$F$13&lt;'Your debts'!$F$11),AQ217,0)+IF(AND('Your debts'!$F$14&lt;&gt;"",'Your debts'!$F$11&lt;&gt;"",'Your debts'!$F$14&lt;'Your debts'!$F$11),AV217,0)+IF(AND('Your debts'!$F$15&lt;&gt;"",'Your debts'!$F$11&lt;&gt;"",'Your debts'!$F$15&lt;'Your debts'!$F$11),BA217,0)))))</f>
        <v/>
      </c>
      <c r="AI217" s="33">
        <f>AG217-AH217</f>
        <v/>
      </c>
      <c r="AJ217" s="33">
        <f>IF(AN216&lt;=0,0,ROUND(AN216*(1+'Your debts'!$D$12/1200),2))</f>
        <v/>
      </c>
      <c r="AK217" s="33">
        <f>IF(AJ217&lt;=0,0,MIN('Your debts'!$E$12,AJ217))</f>
        <v/>
      </c>
      <c r="AL217" s="33">
        <f>AJ217-AK217</f>
        <v/>
      </c>
      <c r="AM217" s="33">
        <f>IF('Your debts'!$F$12="",0,MIN(AL217,MAX(0,MAX(0,'Your debts'!$C$19-(G217+L217+Q217+V217+AA217+AF217+AK217+AP217+AU217+AZ217))-(IF(AND('Your debts'!$F$6&lt;&gt;"",'Your debts'!$F$12&lt;&gt;"",'Your debts'!$F$6&lt;'Your debts'!$F$12),H217,0)+IF(AND('Your debts'!$F$7&lt;&gt;"",'Your debts'!$F$12&lt;&gt;"",'Your debts'!$F$7&lt;'Your debts'!$F$12),M217,0)+IF(AND('Your debts'!$F$8&lt;&gt;"",'Your debts'!$F$12&lt;&gt;"",'Your debts'!$F$8&lt;'Your debts'!$F$12),R217,0)+IF(AND('Your debts'!$F$9&lt;&gt;"",'Your debts'!$F$12&lt;&gt;"",'Your debts'!$F$9&lt;'Your debts'!$F$12),W217,0)+IF(AND('Your debts'!$F$10&lt;&gt;"",'Your debts'!$F$12&lt;&gt;"",'Your debts'!$F$10&lt;'Your debts'!$F$12),AB217,0)+IF(AND('Your debts'!$F$11&lt;&gt;"",'Your debts'!$F$12&lt;&gt;"",'Your debts'!$F$11&lt;'Your debts'!$F$12),AG217,0)+IF(AND('Your debts'!$F$13&lt;&gt;"",'Your debts'!$F$12&lt;&gt;"",'Your debts'!$F$13&lt;'Your debts'!$F$12),AQ217,0)+IF(AND('Your debts'!$F$14&lt;&gt;"",'Your debts'!$F$12&lt;&gt;"",'Your debts'!$F$14&lt;'Your debts'!$F$12),AV217,0)+IF(AND('Your debts'!$F$15&lt;&gt;"",'Your debts'!$F$12&lt;&gt;"",'Your debts'!$F$15&lt;'Your debts'!$F$12),BA217,0)))))</f>
        <v/>
      </c>
      <c r="AN217" s="33">
        <f>AL217-AM217</f>
        <v/>
      </c>
      <c r="AO217" s="33">
        <f>IF(AS216&lt;=0,0,ROUND(AS216*(1+'Your debts'!$D$13/1200),2))</f>
        <v/>
      </c>
      <c r="AP217" s="33">
        <f>IF(AO217&lt;=0,0,MIN('Your debts'!$E$13,AO217))</f>
        <v/>
      </c>
      <c r="AQ217" s="33">
        <f>AO217-AP217</f>
        <v/>
      </c>
      <c r="AR217" s="33">
        <f>IF('Your debts'!$F$13="",0,MIN(AQ217,MAX(0,MAX(0,'Your debts'!$C$19-(G217+L217+Q217+V217+AA217+AF217+AK217+AP217+AU217+AZ217))-(IF(AND('Your debts'!$F$6&lt;&gt;"",'Your debts'!$F$13&lt;&gt;"",'Your debts'!$F$6&lt;'Your debts'!$F$13),H217,0)+IF(AND('Your debts'!$F$7&lt;&gt;"",'Your debts'!$F$13&lt;&gt;"",'Your debts'!$F$7&lt;'Your debts'!$F$13),M217,0)+IF(AND('Your debts'!$F$8&lt;&gt;"",'Your debts'!$F$13&lt;&gt;"",'Your debts'!$F$8&lt;'Your debts'!$F$13),R217,0)+IF(AND('Your debts'!$F$9&lt;&gt;"",'Your debts'!$F$13&lt;&gt;"",'Your debts'!$F$9&lt;'Your debts'!$F$13),W217,0)+IF(AND('Your debts'!$F$10&lt;&gt;"",'Your debts'!$F$13&lt;&gt;"",'Your debts'!$F$10&lt;'Your debts'!$F$13),AB217,0)+IF(AND('Your debts'!$F$11&lt;&gt;"",'Your debts'!$F$13&lt;&gt;"",'Your debts'!$F$11&lt;'Your debts'!$F$13),AG217,0)+IF(AND('Your debts'!$F$12&lt;&gt;"",'Your debts'!$F$13&lt;&gt;"",'Your debts'!$F$12&lt;'Your debts'!$F$13),AL217,0)+IF(AND('Your debts'!$F$14&lt;&gt;"",'Your debts'!$F$13&lt;&gt;"",'Your debts'!$F$14&lt;'Your debts'!$F$13),AV217,0)+IF(AND('Your debts'!$F$15&lt;&gt;"",'Your debts'!$F$13&lt;&gt;"",'Your debts'!$F$15&lt;'Your debts'!$F$13),BA217,0)))))</f>
        <v/>
      </c>
      <c r="AS217" s="33">
        <f>AQ217-AR217</f>
        <v/>
      </c>
      <c r="AT217" s="33">
        <f>IF(AX216&lt;=0,0,ROUND(AX216*(1+'Your debts'!$D$14/1200),2))</f>
        <v/>
      </c>
      <c r="AU217" s="33">
        <f>IF(AT217&lt;=0,0,MIN('Your debts'!$E$14,AT217))</f>
        <v/>
      </c>
      <c r="AV217" s="33">
        <f>AT217-AU217</f>
        <v/>
      </c>
      <c r="AW217" s="33">
        <f>IF('Your debts'!$F$14="",0,MIN(AV217,MAX(0,MAX(0,'Your debts'!$C$19-(G217+L217+Q217+V217+AA217+AF217+AK217+AP217+AU217+AZ217))-(IF(AND('Your debts'!$F$6&lt;&gt;"",'Your debts'!$F$14&lt;&gt;"",'Your debts'!$F$6&lt;'Your debts'!$F$14),H217,0)+IF(AND('Your debts'!$F$7&lt;&gt;"",'Your debts'!$F$14&lt;&gt;"",'Your debts'!$F$7&lt;'Your debts'!$F$14),M217,0)+IF(AND('Your debts'!$F$8&lt;&gt;"",'Your debts'!$F$14&lt;&gt;"",'Your debts'!$F$8&lt;'Your debts'!$F$14),R217,0)+IF(AND('Your debts'!$F$9&lt;&gt;"",'Your debts'!$F$14&lt;&gt;"",'Your debts'!$F$9&lt;'Your debts'!$F$14),W217,0)+IF(AND('Your debts'!$F$10&lt;&gt;"",'Your debts'!$F$14&lt;&gt;"",'Your debts'!$F$10&lt;'Your debts'!$F$14),AB217,0)+IF(AND('Your debts'!$F$11&lt;&gt;"",'Your debts'!$F$14&lt;&gt;"",'Your debts'!$F$11&lt;'Your debts'!$F$14),AG217,0)+IF(AND('Your debts'!$F$12&lt;&gt;"",'Your debts'!$F$14&lt;&gt;"",'Your debts'!$F$12&lt;'Your debts'!$F$14),AL217,0)+IF(AND('Your debts'!$F$13&lt;&gt;"",'Your debts'!$F$14&lt;&gt;"",'Your debts'!$F$13&lt;'Your debts'!$F$14),AQ217,0)+IF(AND('Your debts'!$F$15&lt;&gt;"",'Your debts'!$F$14&lt;&gt;"",'Your debts'!$F$15&lt;'Your debts'!$F$14),BA217,0)))))</f>
        <v/>
      </c>
      <c r="AX217" s="33">
        <f>AV217-AW217</f>
        <v/>
      </c>
      <c r="AY217" s="33">
        <f>IF(BC216&lt;=0,0,ROUND(BC216*(1+'Your debts'!$D$15/1200),2))</f>
        <v/>
      </c>
      <c r="AZ217" s="33">
        <f>IF(AY217&lt;=0,0,MIN('Your debts'!$E$15,AY217))</f>
        <v/>
      </c>
      <c r="BA217" s="33">
        <f>AY217-AZ217</f>
        <v/>
      </c>
      <c r="BB217" s="33">
        <f>IF('Your debts'!$F$15="",0,MIN(BA217,MAX(0,MAX(0,'Your debts'!$C$19-(G217+L217+Q217+V217+AA217+AF217+AK217+AP217+AU217+AZ217))-(IF(AND('Your debts'!$F$6&lt;&gt;"",'Your debts'!$F$15&lt;&gt;"",'Your debts'!$F$6&lt;'Your debts'!$F$15),H217,0)+IF(AND('Your debts'!$F$7&lt;&gt;"",'Your debts'!$F$15&lt;&gt;"",'Your debts'!$F$7&lt;'Your debts'!$F$15),M217,0)+IF(AND('Your debts'!$F$8&lt;&gt;"",'Your debts'!$F$15&lt;&gt;"",'Your debts'!$F$8&lt;'Your debts'!$F$15),R217,0)+IF(AND('Your debts'!$F$9&lt;&gt;"",'Your debts'!$F$15&lt;&gt;"",'Your debts'!$F$9&lt;'Your debts'!$F$15),W217,0)+IF(AND('Your debts'!$F$10&lt;&gt;"",'Your debts'!$F$15&lt;&gt;"",'Your debts'!$F$10&lt;'Your debts'!$F$15),AB217,0)+IF(AND('Your debts'!$F$11&lt;&gt;"",'Your debts'!$F$15&lt;&gt;"",'Your debts'!$F$11&lt;'Your debts'!$F$15),AG217,0)+IF(AND('Your debts'!$F$12&lt;&gt;"",'Your debts'!$F$15&lt;&gt;"",'Your debts'!$F$12&lt;'Your debts'!$F$15),AL217,0)+IF(AND('Your debts'!$F$13&lt;&gt;"",'Your debts'!$F$15&lt;&gt;"",'Your debts'!$F$13&lt;'Your debts'!$F$15),AQ217,0)+IF(AND('Your debts'!$F$14&lt;&gt;"",'Your debts'!$F$15&lt;&gt;"",'Your debts'!$F$14&lt;'Your debts'!$F$15),AV217,0)))))</f>
        <v/>
      </c>
      <c r="BC217" s="33">
        <f>BA217-BB217</f>
        <v/>
      </c>
    </row>
    <row r="218">
      <c r="A218" s="30" t="n">
        <v>203</v>
      </c>
      <c r="B218" s="31">
        <f>EDATE($B$15,203)</f>
        <v/>
      </c>
      <c r="C218" s="32">
        <f>IF(J217&lt;=0,0,F218-J217)+IF(O217&lt;=0,0,K218-O217)+IF(T217&lt;=0,0,P218-T217)+IF(Y217&lt;=0,0,U218-Y217)+IF(AD217&lt;=0,0,Z218-AD217)+IF(AI217&lt;=0,0,AE218-AI217)+IF(AN217&lt;=0,0,AJ218-AN217)+IF(AS217&lt;=0,0,AO218-AS217)+IF(AX217&lt;=0,0,AT218-AX217)+IF(BC217&lt;=0,0,AY218-BC217)</f>
        <v/>
      </c>
      <c r="D218" s="32">
        <f>G218+I218+L218+N218+Q218+S218+V218+X218+AA218+AC218+AF218+AH218+AK218+AM218+AP218+AR218+AU218+AW218+AZ218+BB218</f>
        <v/>
      </c>
      <c r="E218" s="32">
        <f>J218+O218+T218+Y218+AD218+AI218+AN218+AS218+AX218+BC218</f>
        <v/>
      </c>
      <c r="F218" s="33">
        <f>IF(J217&lt;=0,0,ROUND(J217*(1+'Your debts'!$D$6/1200),2))</f>
        <v/>
      </c>
      <c r="G218" s="33">
        <f>IF(F218&lt;=0,0,MIN('Your debts'!$E$6,F218))</f>
        <v/>
      </c>
      <c r="H218" s="33">
        <f>F218-G218</f>
        <v/>
      </c>
      <c r="I218" s="33">
        <f>IF('Your debts'!$F$6="",0,MIN(H218,MAX(0,MAX(0,'Your debts'!$C$19-(G218+L218+Q218+V218+AA218+AF218+AK218+AP218+AU218+AZ218))-(IF(AND('Your debts'!$F$7&lt;&gt;"",'Your debts'!$F$6&lt;&gt;"",'Your debts'!$F$7&lt;'Your debts'!$F$6),M218,0)+IF(AND('Your debts'!$F$8&lt;&gt;"",'Your debts'!$F$6&lt;&gt;"",'Your debts'!$F$8&lt;'Your debts'!$F$6),R218,0)+IF(AND('Your debts'!$F$9&lt;&gt;"",'Your debts'!$F$6&lt;&gt;"",'Your debts'!$F$9&lt;'Your debts'!$F$6),W218,0)+IF(AND('Your debts'!$F$10&lt;&gt;"",'Your debts'!$F$6&lt;&gt;"",'Your debts'!$F$10&lt;'Your debts'!$F$6),AB218,0)+IF(AND('Your debts'!$F$11&lt;&gt;"",'Your debts'!$F$6&lt;&gt;"",'Your debts'!$F$11&lt;'Your debts'!$F$6),AG218,0)+IF(AND('Your debts'!$F$12&lt;&gt;"",'Your debts'!$F$6&lt;&gt;"",'Your debts'!$F$12&lt;'Your debts'!$F$6),AL218,0)+IF(AND('Your debts'!$F$13&lt;&gt;"",'Your debts'!$F$6&lt;&gt;"",'Your debts'!$F$13&lt;'Your debts'!$F$6),AQ218,0)+IF(AND('Your debts'!$F$14&lt;&gt;"",'Your debts'!$F$6&lt;&gt;"",'Your debts'!$F$14&lt;'Your debts'!$F$6),AV218,0)+IF(AND('Your debts'!$F$15&lt;&gt;"",'Your debts'!$F$6&lt;&gt;"",'Your debts'!$F$15&lt;'Your debts'!$F$6),BA218,0)))))</f>
        <v/>
      </c>
      <c r="J218" s="33">
        <f>H218-I218</f>
        <v/>
      </c>
      <c r="K218" s="33">
        <f>IF(O217&lt;=0,0,ROUND(O217*(1+'Your debts'!$D$7/1200),2))</f>
        <v/>
      </c>
      <c r="L218" s="33">
        <f>IF(K218&lt;=0,0,MIN('Your debts'!$E$7,K218))</f>
        <v/>
      </c>
      <c r="M218" s="33">
        <f>K218-L218</f>
        <v/>
      </c>
      <c r="N218" s="33">
        <f>IF('Your debts'!$F$7="",0,MIN(M218,MAX(0,MAX(0,'Your debts'!$C$19-(G218+L218+Q218+V218+AA218+AF218+AK218+AP218+AU218+AZ218))-(IF(AND('Your debts'!$F$6&lt;&gt;"",'Your debts'!$F$7&lt;&gt;"",'Your debts'!$F$6&lt;'Your debts'!$F$7),H218,0)+IF(AND('Your debts'!$F$8&lt;&gt;"",'Your debts'!$F$7&lt;&gt;"",'Your debts'!$F$8&lt;'Your debts'!$F$7),R218,0)+IF(AND('Your debts'!$F$9&lt;&gt;"",'Your debts'!$F$7&lt;&gt;"",'Your debts'!$F$9&lt;'Your debts'!$F$7),W218,0)+IF(AND('Your debts'!$F$10&lt;&gt;"",'Your debts'!$F$7&lt;&gt;"",'Your debts'!$F$10&lt;'Your debts'!$F$7),AB218,0)+IF(AND('Your debts'!$F$11&lt;&gt;"",'Your debts'!$F$7&lt;&gt;"",'Your debts'!$F$11&lt;'Your debts'!$F$7),AG218,0)+IF(AND('Your debts'!$F$12&lt;&gt;"",'Your debts'!$F$7&lt;&gt;"",'Your debts'!$F$12&lt;'Your debts'!$F$7),AL218,0)+IF(AND('Your debts'!$F$13&lt;&gt;"",'Your debts'!$F$7&lt;&gt;"",'Your debts'!$F$13&lt;'Your debts'!$F$7),AQ218,0)+IF(AND('Your debts'!$F$14&lt;&gt;"",'Your debts'!$F$7&lt;&gt;"",'Your debts'!$F$14&lt;'Your debts'!$F$7),AV218,0)+IF(AND('Your debts'!$F$15&lt;&gt;"",'Your debts'!$F$7&lt;&gt;"",'Your debts'!$F$15&lt;'Your debts'!$F$7),BA218,0)))))</f>
        <v/>
      </c>
      <c r="O218" s="33">
        <f>M218-N218</f>
        <v/>
      </c>
      <c r="P218" s="33">
        <f>IF(T217&lt;=0,0,ROUND(T217*(1+'Your debts'!$D$8/1200),2))</f>
        <v/>
      </c>
      <c r="Q218" s="33">
        <f>IF(P218&lt;=0,0,MIN('Your debts'!$E$8,P218))</f>
        <v/>
      </c>
      <c r="R218" s="33">
        <f>P218-Q218</f>
        <v/>
      </c>
      <c r="S218" s="33">
        <f>IF('Your debts'!$F$8="",0,MIN(R218,MAX(0,MAX(0,'Your debts'!$C$19-(G218+L218+Q218+V218+AA218+AF218+AK218+AP218+AU218+AZ218))-(IF(AND('Your debts'!$F$6&lt;&gt;"",'Your debts'!$F$8&lt;&gt;"",'Your debts'!$F$6&lt;'Your debts'!$F$8),H218,0)+IF(AND('Your debts'!$F$7&lt;&gt;"",'Your debts'!$F$8&lt;&gt;"",'Your debts'!$F$7&lt;'Your debts'!$F$8),M218,0)+IF(AND('Your debts'!$F$9&lt;&gt;"",'Your debts'!$F$8&lt;&gt;"",'Your debts'!$F$9&lt;'Your debts'!$F$8),W218,0)+IF(AND('Your debts'!$F$10&lt;&gt;"",'Your debts'!$F$8&lt;&gt;"",'Your debts'!$F$10&lt;'Your debts'!$F$8),AB218,0)+IF(AND('Your debts'!$F$11&lt;&gt;"",'Your debts'!$F$8&lt;&gt;"",'Your debts'!$F$11&lt;'Your debts'!$F$8),AG218,0)+IF(AND('Your debts'!$F$12&lt;&gt;"",'Your debts'!$F$8&lt;&gt;"",'Your debts'!$F$12&lt;'Your debts'!$F$8),AL218,0)+IF(AND('Your debts'!$F$13&lt;&gt;"",'Your debts'!$F$8&lt;&gt;"",'Your debts'!$F$13&lt;'Your debts'!$F$8),AQ218,0)+IF(AND('Your debts'!$F$14&lt;&gt;"",'Your debts'!$F$8&lt;&gt;"",'Your debts'!$F$14&lt;'Your debts'!$F$8),AV218,0)+IF(AND('Your debts'!$F$15&lt;&gt;"",'Your debts'!$F$8&lt;&gt;"",'Your debts'!$F$15&lt;'Your debts'!$F$8),BA218,0)))))</f>
        <v/>
      </c>
      <c r="T218" s="33">
        <f>R218-S218</f>
        <v/>
      </c>
      <c r="U218" s="33">
        <f>IF(Y217&lt;=0,0,ROUND(Y217*(1+'Your debts'!$D$9/1200),2))</f>
        <v/>
      </c>
      <c r="V218" s="33">
        <f>IF(U218&lt;=0,0,MIN('Your debts'!$E$9,U218))</f>
        <v/>
      </c>
      <c r="W218" s="33">
        <f>U218-V218</f>
        <v/>
      </c>
      <c r="X218" s="33">
        <f>IF('Your debts'!$F$9="",0,MIN(W218,MAX(0,MAX(0,'Your debts'!$C$19-(G218+L218+Q218+V218+AA218+AF218+AK218+AP218+AU218+AZ218))-(IF(AND('Your debts'!$F$6&lt;&gt;"",'Your debts'!$F$9&lt;&gt;"",'Your debts'!$F$6&lt;'Your debts'!$F$9),H218,0)+IF(AND('Your debts'!$F$7&lt;&gt;"",'Your debts'!$F$9&lt;&gt;"",'Your debts'!$F$7&lt;'Your debts'!$F$9),M218,0)+IF(AND('Your debts'!$F$8&lt;&gt;"",'Your debts'!$F$9&lt;&gt;"",'Your debts'!$F$8&lt;'Your debts'!$F$9),R218,0)+IF(AND('Your debts'!$F$10&lt;&gt;"",'Your debts'!$F$9&lt;&gt;"",'Your debts'!$F$10&lt;'Your debts'!$F$9),AB218,0)+IF(AND('Your debts'!$F$11&lt;&gt;"",'Your debts'!$F$9&lt;&gt;"",'Your debts'!$F$11&lt;'Your debts'!$F$9),AG218,0)+IF(AND('Your debts'!$F$12&lt;&gt;"",'Your debts'!$F$9&lt;&gt;"",'Your debts'!$F$12&lt;'Your debts'!$F$9),AL218,0)+IF(AND('Your debts'!$F$13&lt;&gt;"",'Your debts'!$F$9&lt;&gt;"",'Your debts'!$F$13&lt;'Your debts'!$F$9),AQ218,0)+IF(AND('Your debts'!$F$14&lt;&gt;"",'Your debts'!$F$9&lt;&gt;"",'Your debts'!$F$14&lt;'Your debts'!$F$9),AV218,0)+IF(AND('Your debts'!$F$15&lt;&gt;"",'Your debts'!$F$9&lt;&gt;"",'Your debts'!$F$15&lt;'Your debts'!$F$9),BA218,0)))))</f>
        <v/>
      </c>
      <c r="Y218" s="33">
        <f>W218-X218</f>
        <v/>
      </c>
      <c r="Z218" s="33">
        <f>IF(AD217&lt;=0,0,ROUND(AD217*(1+'Your debts'!$D$10/1200),2))</f>
        <v/>
      </c>
      <c r="AA218" s="33">
        <f>IF(Z218&lt;=0,0,MIN('Your debts'!$E$10,Z218))</f>
        <v/>
      </c>
      <c r="AB218" s="33">
        <f>Z218-AA218</f>
        <v/>
      </c>
      <c r="AC218" s="33">
        <f>IF('Your debts'!$F$10="",0,MIN(AB218,MAX(0,MAX(0,'Your debts'!$C$19-(G218+L218+Q218+V218+AA218+AF218+AK218+AP218+AU218+AZ218))-(IF(AND('Your debts'!$F$6&lt;&gt;"",'Your debts'!$F$10&lt;&gt;"",'Your debts'!$F$6&lt;'Your debts'!$F$10),H218,0)+IF(AND('Your debts'!$F$7&lt;&gt;"",'Your debts'!$F$10&lt;&gt;"",'Your debts'!$F$7&lt;'Your debts'!$F$10),M218,0)+IF(AND('Your debts'!$F$8&lt;&gt;"",'Your debts'!$F$10&lt;&gt;"",'Your debts'!$F$8&lt;'Your debts'!$F$10),R218,0)+IF(AND('Your debts'!$F$9&lt;&gt;"",'Your debts'!$F$10&lt;&gt;"",'Your debts'!$F$9&lt;'Your debts'!$F$10),W218,0)+IF(AND('Your debts'!$F$11&lt;&gt;"",'Your debts'!$F$10&lt;&gt;"",'Your debts'!$F$11&lt;'Your debts'!$F$10),AG218,0)+IF(AND('Your debts'!$F$12&lt;&gt;"",'Your debts'!$F$10&lt;&gt;"",'Your debts'!$F$12&lt;'Your debts'!$F$10),AL218,0)+IF(AND('Your debts'!$F$13&lt;&gt;"",'Your debts'!$F$10&lt;&gt;"",'Your debts'!$F$13&lt;'Your debts'!$F$10),AQ218,0)+IF(AND('Your debts'!$F$14&lt;&gt;"",'Your debts'!$F$10&lt;&gt;"",'Your debts'!$F$14&lt;'Your debts'!$F$10),AV218,0)+IF(AND('Your debts'!$F$15&lt;&gt;"",'Your debts'!$F$10&lt;&gt;"",'Your debts'!$F$15&lt;'Your debts'!$F$10),BA218,0)))))</f>
        <v/>
      </c>
      <c r="AD218" s="33">
        <f>AB218-AC218</f>
        <v/>
      </c>
      <c r="AE218" s="33">
        <f>IF(AI217&lt;=0,0,ROUND(AI217*(1+'Your debts'!$D$11/1200),2))</f>
        <v/>
      </c>
      <c r="AF218" s="33">
        <f>IF(AE218&lt;=0,0,MIN('Your debts'!$E$11,AE218))</f>
        <v/>
      </c>
      <c r="AG218" s="33">
        <f>AE218-AF218</f>
        <v/>
      </c>
      <c r="AH218" s="33">
        <f>IF('Your debts'!$F$11="",0,MIN(AG218,MAX(0,MAX(0,'Your debts'!$C$19-(G218+L218+Q218+V218+AA218+AF218+AK218+AP218+AU218+AZ218))-(IF(AND('Your debts'!$F$6&lt;&gt;"",'Your debts'!$F$11&lt;&gt;"",'Your debts'!$F$6&lt;'Your debts'!$F$11),H218,0)+IF(AND('Your debts'!$F$7&lt;&gt;"",'Your debts'!$F$11&lt;&gt;"",'Your debts'!$F$7&lt;'Your debts'!$F$11),M218,0)+IF(AND('Your debts'!$F$8&lt;&gt;"",'Your debts'!$F$11&lt;&gt;"",'Your debts'!$F$8&lt;'Your debts'!$F$11),R218,0)+IF(AND('Your debts'!$F$9&lt;&gt;"",'Your debts'!$F$11&lt;&gt;"",'Your debts'!$F$9&lt;'Your debts'!$F$11),W218,0)+IF(AND('Your debts'!$F$10&lt;&gt;"",'Your debts'!$F$11&lt;&gt;"",'Your debts'!$F$10&lt;'Your debts'!$F$11),AB218,0)+IF(AND('Your debts'!$F$12&lt;&gt;"",'Your debts'!$F$11&lt;&gt;"",'Your debts'!$F$12&lt;'Your debts'!$F$11),AL218,0)+IF(AND('Your debts'!$F$13&lt;&gt;"",'Your debts'!$F$11&lt;&gt;"",'Your debts'!$F$13&lt;'Your debts'!$F$11),AQ218,0)+IF(AND('Your debts'!$F$14&lt;&gt;"",'Your debts'!$F$11&lt;&gt;"",'Your debts'!$F$14&lt;'Your debts'!$F$11),AV218,0)+IF(AND('Your debts'!$F$15&lt;&gt;"",'Your debts'!$F$11&lt;&gt;"",'Your debts'!$F$15&lt;'Your debts'!$F$11),BA218,0)))))</f>
        <v/>
      </c>
      <c r="AI218" s="33">
        <f>AG218-AH218</f>
        <v/>
      </c>
      <c r="AJ218" s="33">
        <f>IF(AN217&lt;=0,0,ROUND(AN217*(1+'Your debts'!$D$12/1200),2))</f>
        <v/>
      </c>
      <c r="AK218" s="33">
        <f>IF(AJ218&lt;=0,0,MIN('Your debts'!$E$12,AJ218))</f>
        <v/>
      </c>
      <c r="AL218" s="33">
        <f>AJ218-AK218</f>
        <v/>
      </c>
      <c r="AM218" s="33">
        <f>IF('Your debts'!$F$12="",0,MIN(AL218,MAX(0,MAX(0,'Your debts'!$C$19-(G218+L218+Q218+V218+AA218+AF218+AK218+AP218+AU218+AZ218))-(IF(AND('Your debts'!$F$6&lt;&gt;"",'Your debts'!$F$12&lt;&gt;"",'Your debts'!$F$6&lt;'Your debts'!$F$12),H218,0)+IF(AND('Your debts'!$F$7&lt;&gt;"",'Your debts'!$F$12&lt;&gt;"",'Your debts'!$F$7&lt;'Your debts'!$F$12),M218,0)+IF(AND('Your debts'!$F$8&lt;&gt;"",'Your debts'!$F$12&lt;&gt;"",'Your debts'!$F$8&lt;'Your debts'!$F$12),R218,0)+IF(AND('Your debts'!$F$9&lt;&gt;"",'Your debts'!$F$12&lt;&gt;"",'Your debts'!$F$9&lt;'Your debts'!$F$12),W218,0)+IF(AND('Your debts'!$F$10&lt;&gt;"",'Your debts'!$F$12&lt;&gt;"",'Your debts'!$F$10&lt;'Your debts'!$F$12),AB218,0)+IF(AND('Your debts'!$F$11&lt;&gt;"",'Your debts'!$F$12&lt;&gt;"",'Your debts'!$F$11&lt;'Your debts'!$F$12),AG218,0)+IF(AND('Your debts'!$F$13&lt;&gt;"",'Your debts'!$F$12&lt;&gt;"",'Your debts'!$F$13&lt;'Your debts'!$F$12),AQ218,0)+IF(AND('Your debts'!$F$14&lt;&gt;"",'Your debts'!$F$12&lt;&gt;"",'Your debts'!$F$14&lt;'Your debts'!$F$12),AV218,0)+IF(AND('Your debts'!$F$15&lt;&gt;"",'Your debts'!$F$12&lt;&gt;"",'Your debts'!$F$15&lt;'Your debts'!$F$12),BA218,0)))))</f>
        <v/>
      </c>
      <c r="AN218" s="33">
        <f>AL218-AM218</f>
        <v/>
      </c>
      <c r="AO218" s="33">
        <f>IF(AS217&lt;=0,0,ROUND(AS217*(1+'Your debts'!$D$13/1200),2))</f>
        <v/>
      </c>
      <c r="AP218" s="33">
        <f>IF(AO218&lt;=0,0,MIN('Your debts'!$E$13,AO218))</f>
        <v/>
      </c>
      <c r="AQ218" s="33">
        <f>AO218-AP218</f>
        <v/>
      </c>
      <c r="AR218" s="33">
        <f>IF('Your debts'!$F$13="",0,MIN(AQ218,MAX(0,MAX(0,'Your debts'!$C$19-(G218+L218+Q218+V218+AA218+AF218+AK218+AP218+AU218+AZ218))-(IF(AND('Your debts'!$F$6&lt;&gt;"",'Your debts'!$F$13&lt;&gt;"",'Your debts'!$F$6&lt;'Your debts'!$F$13),H218,0)+IF(AND('Your debts'!$F$7&lt;&gt;"",'Your debts'!$F$13&lt;&gt;"",'Your debts'!$F$7&lt;'Your debts'!$F$13),M218,0)+IF(AND('Your debts'!$F$8&lt;&gt;"",'Your debts'!$F$13&lt;&gt;"",'Your debts'!$F$8&lt;'Your debts'!$F$13),R218,0)+IF(AND('Your debts'!$F$9&lt;&gt;"",'Your debts'!$F$13&lt;&gt;"",'Your debts'!$F$9&lt;'Your debts'!$F$13),W218,0)+IF(AND('Your debts'!$F$10&lt;&gt;"",'Your debts'!$F$13&lt;&gt;"",'Your debts'!$F$10&lt;'Your debts'!$F$13),AB218,0)+IF(AND('Your debts'!$F$11&lt;&gt;"",'Your debts'!$F$13&lt;&gt;"",'Your debts'!$F$11&lt;'Your debts'!$F$13),AG218,0)+IF(AND('Your debts'!$F$12&lt;&gt;"",'Your debts'!$F$13&lt;&gt;"",'Your debts'!$F$12&lt;'Your debts'!$F$13),AL218,0)+IF(AND('Your debts'!$F$14&lt;&gt;"",'Your debts'!$F$13&lt;&gt;"",'Your debts'!$F$14&lt;'Your debts'!$F$13),AV218,0)+IF(AND('Your debts'!$F$15&lt;&gt;"",'Your debts'!$F$13&lt;&gt;"",'Your debts'!$F$15&lt;'Your debts'!$F$13),BA218,0)))))</f>
        <v/>
      </c>
      <c r="AS218" s="33">
        <f>AQ218-AR218</f>
        <v/>
      </c>
      <c r="AT218" s="33">
        <f>IF(AX217&lt;=0,0,ROUND(AX217*(1+'Your debts'!$D$14/1200),2))</f>
        <v/>
      </c>
      <c r="AU218" s="33">
        <f>IF(AT218&lt;=0,0,MIN('Your debts'!$E$14,AT218))</f>
        <v/>
      </c>
      <c r="AV218" s="33">
        <f>AT218-AU218</f>
        <v/>
      </c>
      <c r="AW218" s="33">
        <f>IF('Your debts'!$F$14="",0,MIN(AV218,MAX(0,MAX(0,'Your debts'!$C$19-(G218+L218+Q218+V218+AA218+AF218+AK218+AP218+AU218+AZ218))-(IF(AND('Your debts'!$F$6&lt;&gt;"",'Your debts'!$F$14&lt;&gt;"",'Your debts'!$F$6&lt;'Your debts'!$F$14),H218,0)+IF(AND('Your debts'!$F$7&lt;&gt;"",'Your debts'!$F$14&lt;&gt;"",'Your debts'!$F$7&lt;'Your debts'!$F$14),M218,0)+IF(AND('Your debts'!$F$8&lt;&gt;"",'Your debts'!$F$14&lt;&gt;"",'Your debts'!$F$8&lt;'Your debts'!$F$14),R218,0)+IF(AND('Your debts'!$F$9&lt;&gt;"",'Your debts'!$F$14&lt;&gt;"",'Your debts'!$F$9&lt;'Your debts'!$F$14),W218,0)+IF(AND('Your debts'!$F$10&lt;&gt;"",'Your debts'!$F$14&lt;&gt;"",'Your debts'!$F$10&lt;'Your debts'!$F$14),AB218,0)+IF(AND('Your debts'!$F$11&lt;&gt;"",'Your debts'!$F$14&lt;&gt;"",'Your debts'!$F$11&lt;'Your debts'!$F$14),AG218,0)+IF(AND('Your debts'!$F$12&lt;&gt;"",'Your debts'!$F$14&lt;&gt;"",'Your debts'!$F$12&lt;'Your debts'!$F$14),AL218,0)+IF(AND('Your debts'!$F$13&lt;&gt;"",'Your debts'!$F$14&lt;&gt;"",'Your debts'!$F$13&lt;'Your debts'!$F$14),AQ218,0)+IF(AND('Your debts'!$F$15&lt;&gt;"",'Your debts'!$F$14&lt;&gt;"",'Your debts'!$F$15&lt;'Your debts'!$F$14),BA218,0)))))</f>
        <v/>
      </c>
      <c r="AX218" s="33">
        <f>AV218-AW218</f>
        <v/>
      </c>
      <c r="AY218" s="33">
        <f>IF(BC217&lt;=0,0,ROUND(BC217*(1+'Your debts'!$D$15/1200),2))</f>
        <v/>
      </c>
      <c r="AZ218" s="33">
        <f>IF(AY218&lt;=0,0,MIN('Your debts'!$E$15,AY218))</f>
        <v/>
      </c>
      <c r="BA218" s="33">
        <f>AY218-AZ218</f>
        <v/>
      </c>
      <c r="BB218" s="33">
        <f>IF('Your debts'!$F$15="",0,MIN(BA218,MAX(0,MAX(0,'Your debts'!$C$19-(G218+L218+Q218+V218+AA218+AF218+AK218+AP218+AU218+AZ218))-(IF(AND('Your debts'!$F$6&lt;&gt;"",'Your debts'!$F$15&lt;&gt;"",'Your debts'!$F$6&lt;'Your debts'!$F$15),H218,0)+IF(AND('Your debts'!$F$7&lt;&gt;"",'Your debts'!$F$15&lt;&gt;"",'Your debts'!$F$7&lt;'Your debts'!$F$15),M218,0)+IF(AND('Your debts'!$F$8&lt;&gt;"",'Your debts'!$F$15&lt;&gt;"",'Your debts'!$F$8&lt;'Your debts'!$F$15),R218,0)+IF(AND('Your debts'!$F$9&lt;&gt;"",'Your debts'!$F$15&lt;&gt;"",'Your debts'!$F$9&lt;'Your debts'!$F$15),W218,0)+IF(AND('Your debts'!$F$10&lt;&gt;"",'Your debts'!$F$15&lt;&gt;"",'Your debts'!$F$10&lt;'Your debts'!$F$15),AB218,0)+IF(AND('Your debts'!$F$11&lt;&gt;"",'Your debts'!$F$15&lt;&gt;"",'Your debts'!$F$11&lt;'Your debts'!$F$15),AG218,0)+IF(AND('Your debts'!$F$12&lt;&gt;"",'Your debts'!$F$15&lt;&gt;"",'Your debts'!$F$12&lt;'Your debts'!$F$15),AL218,0)+IF(AND('Your debts'!$F$13&lt;&gt;"",'Your debts'!$F$15&lt;&gt;"",'Your debts'!$F$13&lt;'Your debts'!$F$15),AQ218,0)+IF(AND('Your debts'!$F$14&lt;&gt;"",'Your debts'!$F$15&lt;&gt;"",'Your debts'!$F$14&lt;'Your debts'!$F$15),AV218,0)))))</f>
        <v/>
      </c>
      <c r="BC218" s="33">
        <f>BA218-BB218</f>
        <v/>
      </c>
    </row>
    <row r="219">
      <c r="A219" s="30" t="n">
        <v>204</v>
      </c>
      <c r="B219" s="31">
        <f>EDATE($B$15,204)</f>
        <v/>
      </c>
      <c r="C219" s="32">
        <f>IF(J218&lt;=0,0,F219-J218)+IF(O218&lt;=0,0,K219-O218)+IF(T218&lt;=0,0,P219-T218)+IF(Y218&lt;=0,0,U219-Y218)+IF(AD218&lt;=0,0,Z219-AD218)+IF(AI218&lt;=0,0,AE219-AI218)+IF(AN218&lt;=0,0,AJ219-AN218)+IF(AS218&lt;=0,0,AO219-AS218)+IF(AX218&lt;=0,0,AT219-AX218)+IF(BC218&lt;=0,0,AY219-BC218)</f>
        <v/>
      </c>
      <c r="D219" s="32">
        <f>G219+I219+L219+N219+Q219+S219+V219+X219+AA219+AC219+AF219+AH219+AK219+AM219+AP219+AR219+AU219+AW219+AZ219+BB219</f>
        <v/>
      </c>
      <c r="E219" s="32">
        <f>J219+O219+T219+Y219+AD219+AI219+AN219+AS219+AX219+BC219</f>
        <v/>
      </c>
      <c r="F219" s="33">
        <f>IF(J218&lt;=0,0,ROUND(J218*(1+'Your debts'!$D$6/1200),2))</f>
        <v/>
      </c>
      <c r="G219" s="33">
        <f>IF(F219&lt;=0,0,MIN('Your debts'!$E$6,F219))</f>
        <v/>
      </c>
      <c r="H219" s="33">
        <f>F219-G219</f>
        <v/>
      </c>
      <c r="I219" s="33">
        <f>IF('Your debts'!$F$6="",0,MIN(H219,MAX(0,MAX(0,'Your debts'!$C$19-(G219+L219+Q219+V219+AA219+AF219+AK219+AP219+AU219+AZ219))-(IF(AND('Your debts'!$F$7&lt;&gt;"",'Your debts'!$F$6&lt;&gt;"",'Your debts'!$F$7&lt;'Your debts'!$F$6),M219,0)+IF(AND('Your debts'!$F$8&lt;&gt;"",'Your debts'!$F$6&lt;&gt;"",'Your debts'!$F$8&lt;'Your debts'!$F$6),R219,0)+IF(AND('Your debts'!$F$9&lt;&gt;"",'Your debts'!$F$6&lt;&gt;"",'Your debts'!$F$9&lt;'Your debts'!$F$6),W219,0)+IF(AND('Your debts'!$F$10&lt;&gt;"",'Your debts'!$F$6&lt;&gt;"",'Your debts'!$F$10&lt;'Your debts'!$F$6),AB219,0)+IF(AND('Your debts'!$F$11&lt;&gt;"",'Your debts'!$F$6&lt;&gt;"",'Your debts'!$F$11&lt;'Your debts'!$F$6),AG219,0)+IF(AND('Your debts'!$F$12&lt;&gt;"",'Your debts'!$F$6&lt;&gt;"",'Your debts'!$F$12&lt;'Your debts'!$F$6),AL219,0)+IF(AND('Your debts'!$F$13&lt;&gt;"",'Your debts'!$F$6&lt;&gt;"",'Your debts'!$F$13&lt;'Your debts'!$F$6),AQ219,0)+IF(AND('Your debts'!$F$14&lt;&gt;"",'Your debts'!$F$6&lt;&gt;"",'Your debts'!$F$14&lt;'Your debts'!$F$6),AV219,0)+IF(AND('Your debts'!$F$15&lt;&gt;"",'Your debts'!$F$6&lt;&gt;"",'Your debts'!$F$15&lt;'Your debts'!$F$6),BA219,0)))))</f>
        <v/>
      </c>
      <c r="J219" s="33">
        <f>H219-I219</f>
        <v/>
      </c>
      <c r="K219" s="33">
        <f>IF(O218&lt;=0,0,ROUND(O218*(1+'Your debts'!$D$7/1200),2))</f>
        <v/>
      </c>
      <c r="L219" s="33">
        <f>IF(K219&lt;=0,0,MIN('Your debts'!$E$7,K219))</f>
        <v/>
      </c>
      <c r="M219" s="33">
        <f>K219-L219</f>
        <v/>
      </c>
      <c r="N219" s="33">
        <f>IF('Your debts'!$F$7="",0,MIN(M219,MAX(0,MAX(0,'Your debts'!$C$19-(G219+L219+Q219+V219+AA219+AF219+AK219+AP219+AU219+AZ219))-(IF(AND('Your debts'!$F$6&lt;&gt;"",'Your debts'!$F$7&lt;&gt;"",'Your debts'!$F$6&lt;'Your debts'!$F$7),H219,0)+IF(AND('Your debts'!$F$8&lt;&gt;"",'Your debts'!$F$7&lt;&gt;"",'Your debts'!$F$8&lt;'Your debts'!$F$7),R219,0)+IF(AND('Your debts'!$F$9&lt;&gt;"",'Your debts'!$F$7&lt;&gt;"",'Your debts'!$F$9&lt;'Your debts'!$F$7),W219,0)+IF(AND('Your debts'!$F$10&lt;&gt;"",'Your debts'!$F$7&lt;&gt;"",'Your debts'!$F$10&lt;'Your debts'!$F$7),AB219,0)+IF(AND('Your debts'!$F$11&lt;&gt;"",'Your debts'!$F$7&lt;&gt;"",'Your debts'!$F$11&lt;'Your debts'!$F$7),AG219,0)+IF(AND('Your debts'!$F$12&lt;&gt;"",'Your debts'!$F$7&lt;&gt;"",'Your debts'!$F$12&lt;'Your debts'!$F$7),AL219,0)+IF(AND('Your debts'!$F$13&lt;&gt;"",'Your debts'!$F$7&lt;&gt;"",'Your debts'!$F$13&lt;'Your debts'!$F$7),AQ219,0)+IF(AND('Your debts'!$F$14&lt;&gt;"",'Your debts'!$F$7&lt;&gt;"",'Your debts'!$F$14&lt;'Your debts'!$F$7),AV219,0)+IF(AND('Your debts'!$F$15&lt;&gt;"",'Your debts'!$F$7&lt;&gt;"",'Your debts'!$F$15&lt;'Your debts'!$F$7),BA219,0)))))</f>
        <v/>
      </c>
      <c r="O219" s="33">
        <f>M219-N219</f>
        <v/>
      </c>
      <c r="P219" s="33">
        <f>IF(T218&lt;=0,0,ROUND(T218*(1+'Your debts'!$D$8/1200),2))</f>
        <v/>
      </c>
      <c r="Q219" s="33">
        <f>IF(P219&lt;=0,0,MIN('Your debts'!$E$8,P219))</f>
        <v/>
      </c>
      <c r="R219" s="33">
        <f>P219-Q219</f>
        <v/>
      </c>
      <c r="S219" s="33">
        <f>IF('Your debts'!$F$8="",0,MIN(R219,MAX(0,MAX(0,'Your debts'!$C$19-(G219+L219+Q219+V219+AA219+AF219+AK219+AP219+AU219+AZ219))-(IF(AND('Your debts'!$F$6&lt;&gt;"",'Your debts'!$F$8&lt;&gt;"",'Your debts'!$F$6&lt;'Your debts'!$F$8),H219,0)+IF(AND('Your debts'!$F$7&lt;&gt;"",'Your debts'!$F$8&lt;&gt;"",'Your debts'!$F$7&lt;'Your debts'!$F$8),M219,0)+IF(AND('Your debts'!$F$9&lt;&gt;"",'Your debts'!$F$8&lt;&gt;"",'Your debts'!$F$9&lt;'Your debts'!$F$8),W219,0)+IF(AND('Your debts'!$F$10&lt;&gt;"",'Your debts'!$F$8&lt;&gt;"",'Your debts'!$F$10&lt;'Your debts'!$F$8),AB219,0)+IF(AND('Your debts'!$F$11&lt;&gt;"",'Your debts'!$F$8&lt;&gt;"",'Your debts'!$F$11&lt;'Your debts'!$F$8),AG219,0)+IF(AND('Your debts'!$F$12&lt;&gt;"",'Your debts'!$F$8&lt;&gt;"",'Your debts'!$F$12&lt;'Your debts'!$F$8),AL219,0)+IF(AND('Your debts'!$F$13&lt;&gt;"",'Your debts'!$F$8&lt;&gt;"",'Your debts'!$F$13&lt;'Your debts'!$F$8),AQ219,0)+IF(AND('Your debts'!$F$14&lt;&gt;"",'Your debts'!$F$8&lt;&gt;"",'Your debts'!$F$14&lt;'Your debts'!$F$8),AV219,0)+IF(AND('Your debts'!$F$15&lt;&gt;"",'Your debts'!$F$8&lt;&gt;"",'Your debts'!$F$15&lt;'Your debts'!$F$8),BA219,0)))))</f>
        <v/>
      </c>
      <c r="T219" s="33">
        <f>R219-S219</f>
        <v/>
      </c>
      <c r="U219" s="33">
        <f>IF(Y218&lt;=0,0,ROUND(Y218*(1+'Your debts'!$D$9/1200),2))</f>
        <v/>
      </c>
      <c r="V219" s="33">
        <f>IF(U219&lt;=0,0,MIN('Your debts'!$E$9,U219))</f>
        <v/>
      </c>
      <c r="W219" s="33">
        <f>U219-V219</f>
        <v/>
      </c>
      <c r="X219" s="33">
        <f>IF('Your debts'!$F$9="",0,MIN(W219,MAX(0,MAX(0,'Your debts'!$C$19-(G219+L219+Q219+V219+AA219+AF219+AK219+AP219+AU219+AZ219))-(IF(AND('Your debts'!$F$6&lt;&gt;"",'Your debts'!$F$9&lt;&gt;"",'Your debts'!$F$6&lt;'Your debts'!$F$9),H219,0)+IF(AND('Your debts'!$F$7&lt;&gt;"",'Your debts'!$F$9&lt;&gt;"",'Your debts'!$F$7&lt;'Your debts'!$F$9),M219,0)+IF(AND('Your debts'!$F$8&lt;&gt;"",'Your debts'!$F$9&lt;&gt;"",'Your debts'!$F$8&lt;'Your debts'!$F$9),R219,0)+IF(AND('Your debts'!$F$10&lt;&gt;"",'Your debts'!$F$9&lt;&gt;"",'Your debts'!$F$10&lt;'Your debts'!$F$9),AB219,0)+IF(AND('Your debts'!$F$11&lt;&gt;"",'Your debts'!$F$9&lt;&gt;"",'Your debts'!$F$11&lt;'Your debts'!$F$9),AG219,0)+IF(AND('Your debts'!$F$12&lt;&gt;"",'Your debts'!$F$9&lt;&gt;"",'Your debts'!$F$12&lt;'Your debts'!$F$9),AL219,0)+IF(AND('Your debts'!$F$13&lt;&gt;"",'Your debts'!$F$9&lt;&gt;"",'Your debts'!$F$13&lt;'Your debts'!$F$9),AQ219,0)+IF(AND('Your debts'!$F$14&lt;&gt;"",'Your debts'!$F$9&lt;&gt;"",'Your debts'!$F$14&lt;'Your debts'!$F$9),AV219,0)+IF(AND('Your debts'!$F$15&lt;&gt;"",'Your debts'!$F$9&lt;&gt;"",'Your debts'!$F$15&lt;'Your debts'!$F$9),BA219,0)))))</f>
        <v/>
      </c>
      <c r="Y219" s="33">
        <f>W219-X219</f>
        <v/>
      </c>
      <c r="Z219" s="33">
        <f>IF(AD218&lt;=0,0,ROUND(AD218*(1+'Your debts'!$D$10/1200),2))</f>
        <v/>
      </c>
      <c r="AA219" s="33">
        <f>IF(Z219&lt;=0,0,MIN('Your debts'!$E$10,Z219))</f>
        <v/>
      </c>
      <c r="AB219" s="33">
        <f>Z219-AA219</f>
        <v/>
      </c>
      <c r="AC219" s="33">
        <f>IF('Your debts'!$F$10="",0,MIN(AB219,MAX(0,MAX(0,'Your debts'!$C$19-(G219+L219+Q219+V219+AA219+AF219+AK219+AP219+AU219+AZ219))-(IF(AND('Your debts'!$F$6&lt;&gt;"",'Your debts'!$F$10&lt;&gt;"",'Your debts'!$F$6&lt;'Your debts'!$F$10),H219,0)+IF(AND('Your debts'!$F$7&lt;&gt;"",'Your debts'!$F$10&lt;&gt;"",'Your debts'!$F$7&lt;'Your debts'!$F$10),M219,0)+IF(AND('Your debts'!$F$8&lt;&gt;"",'Your debts'!$F$10&lt;&gt;"",'Your debts'!$F$8&lt;'Your debts'!$F$10),R219,0)+IF(AND('Your debts'!$F$9&lt;&gt;"",'Your debts'!$F$10&lt;&gt;"",'Your debts'!$F$9&lt;'Your debts'!$F$10),W219,0)+IF(AND('Your debts'!$F$11&lt;&gt;"",'Your debts'!$F$10&lt;&gt;"",'Your debts'!$F$11&lt;'Your debts'!$F$10),AG219,0)+IF(AND('Your debts'!$F$12&lt;&gt;"",'Your debts'!$F$10&lt;&gt;"",'Your debts'!$F$12&lt;'Your debts'!$F$10),AL219,0)+IF(AND('Your debts'!$F$13&lt;&gt;"",'Your debts'!$F$10&lt;&gt;"",'Your debts'!$F$13&lt;'Your debts'!$F$10),AQ219,0)+IF(AND('Your debts'!$F$14&lt;&gt;"",'Your debts'!$F$10&lt;&gt;"",'Your debts'!$F$14&lt;'Your debts'!$F$10),AV219,0)+IF(AND('Your debts'!$F$15&lt;&gt;"",'Your debts'!$F$10&lt;&gt;"",'Your debts'!$F$15&lt;'Your debts'!$F$10),BA219,0)))))</f>
        <v/>
      </c>
      <c r="AD219" s="33">
        <f>AB219-AC219</f>
        <v/>
      </c>
      <c r="AE219" s="33">
        <f>IF(AI218&lt;=0,0,ROUND(AI218*(1+'Your debts'!$D$11/1200),2))</f>
        <v/>
      </c>
      <c r="AF219" s="33">
        <f>IF(AE219&lt;=0,0,MIN('Your debts'!$E$11,AE219))</f>
        <v/>
      </c>
      <c r="AG219" s="33">
        <f>AE219-AF219</f>
        <v/>
      </c>
      <c r="AH219" s="33">
        <f>IF('Your debts'!$F$11="",0,MIN(AG219,MAX(0,MAX(0,'Your debts'!$C$19-(G219+L219+Q219+V219+AA219+AF219+AK219+AP219+AU219+AZ219))-(IF(AND('Your debts'!$F$6&lt;&gt;"",'Your debts'!$F$11&lt;&gt;"",'Your debts'!$F$6&lt;'Your debts'!$F$11),H219,0)+IF(AND('Your debts'!$F$7&lt;&gt;"",'Your debts'!$F$11&lt;&gt;"",'Your debts'!$F$7&lt;'Your debts'!$F$11),M219,0)+IF(AND('Your debts'!$F$8&lt;&gt;"",'Your debts'!$F$11&lt;&gt;"",'Your debts'!$F$8&lt;'Your debts'!$F$11),R219,0)+IF(AND('Your debts'!$F$9&lt;&gt;"",'Your debts'!$F$11&lt;&gt;"",'Your debts'!$F$9&lt;'Your debts'!$F$11),W219,0)+IF(AND('Your debts'!$F$10&lt;&gt;"",'Your debts'!$F$11&lt;&gt;"",'Your debts'!$F$10&lt;'Your debts'!$F$11),AB219,0)+IF(AND('Your debts'!$F$12&lt;&gt;"",'Your debts'!$F$11&lt;&gt;"",'Your debts'!$F$12&lt;'Your debts'!$F$11),AL219,0)+IF(AND('Your debts'!$F$13&lt;&gt;"",'Your debts'!$F$11&lt;&gt;"",'Your debts'!$F$13&lt;'Your debts'!$F$11),AQ219,0)+IF(AND('Your debts'!$F$14&lt;&gt;"",'Your debts'!$F$11&lt;&gt;"",'Your debts'!$F$14&lt;'Your debts'!$F$11),AV219,0)+IF(AND('Your debts'!$F$15&lt;&gt;"",'Your debts'!$F$11&lt;&gt;"",'Your debts'!$F$15&lt;'Your debts'!$F$11),BA219,0)))))</f>
        <v/>
      </c>
      <c r="AI219" s="33">
        <f>AG219-AH219</f>
        <v/>
      </c>
      <c r="AJ219" s="33">
        <f>IF(AN218&lt;=0,0,ROUND(AN218*(1+'Your debts'!$D$12/1200),2))</f>
        <v/>
      </c>
      <c r="AK219" s="33">
        <f>IF(AJ219&lt;=0,0,MIN('Your debts'!$E$12,AJ219))</f>
        <v/>
      </c>
      <c r="AL219" s="33">
        <f>AJ219-AK219</f>
        <v/>
      </c>
      <c r="AM219" s="33">
        <f>IF('Your debts'!$F$12="",0,MIN(AL219,MAX(0,MAX(0,'Your debts'!$C$19-(G219+L219+Q219+V219+AA219+AF219+AK219+AP219+AU219+AZ219))-(IF(AND('Your debts'!$F$6&lt;&gt;"",'Your debts'!$F$12&lt;&gt;"",'Your debts'!$F$6&lt;'Your debts'!$F$12),H219,0)+IF(AND('Your debts'!$F$7&lt;&gt;"",'Your debts'!$F$12&lt;&gt;"",'Your debts'!$F$7&lt;'Your debts'!$F$12),M219,0)+IF(AND('Your debts'!$F$8&lt;&gt;"",'Your debts'!$F$12&lt;&gt;"",'Your debts'!$F$8&lt;'Your debts'!$F$12),R219,0)+IF(AND('Your debts'!$F$9&lt;&gt;"",'Your debts'!$F$12&lt;&gt;"",'Your debts'!$F$9&lt;'Your debts'!$F$12),W219,0)+IF(AND('Your debts'!$F$10&lt;&gt;"",'Your debts'!$F$12&lt;&gt;"",'Your debts'!$F$10&lt;'Your debts'!$F$12),AB219,0)+IF(AND('Your debts'!$F$11&lt;&gt;"",'Your debts'!$F$12&lt;&gt;"",'Your debts'!$F$11&lt;'Your debts'!$F$12),AG219,0)+IF(AND('Your debts'!$F$13&lt;&gt;"",'Your debts'!$F$12&lt;&gt;"",'Your debts'!$F$13&lt;'Your debts'!$F$12),AQ219,0)+IF(AND('Your debts'!$F$14&lt;&gt;"",'Your debts'!$F$12&lt;&gt;"",'Your debts'!$F$14&lt;'Your debts'!$F$12),AV219,0)+IF(AND('Your debts'!$F$15&lt;&gt;"",'Your debts'!$F$12&lt;&gt;"",'Your debts'!$F$15&lt;'Your debts'!$F$12),BA219,0)))))</f>
        <v/>
      </c>
      <c r="AN219" s="33">
        <f>AL219-AM219</f>
        <v/>
      </c>
      <c r="AO219" s="33">
        <f>IF(AS218&lt;=0,0,ROUND(AS218*(1+'Your debts'!$D$13/1200),2))</f>
        <v/>
      </c>
      <c r="AP219" s="33">
        <f>IF(AO219&lt;=0,0,MIN('Your debts'!$E$13,AO219))</f>
        <v/>
      </c>
      <c r="AQ219" s="33">
        <f>AO219-AP219</f>
        <v/>
      </c>
      <c r="AR219" s="33">
        <f>IF('Your debts'!$F$13="",0,MIN(AQ219,MAX(0,MAX(0,'Your debts'!$C$19-(G219+L219+Q219+V219+AA219+AF219+AK219+AP219+AU219+AZ219))-(IF(AND('Your debts'!$F$6&lt;&gt;"",'Your debts'!$F$13&lt;&gt;"",'Your debts'!$F$6&lt;'Your debts'!$F$13),H219,0)+IF(AND('Your debts'!$F$7&lt;&gt;"",'Your debts'!$F$13&lt;&gt;"",'Your debts'!$F$7&lt;'Your debts'!$F$13),M219,0)+IF(AND('Your debts'!$F$8&lt;&gt;"",'Your debts'!$F$13&lt;&gt;"",'Your debts'!$F$8&lt;'Your debts'!$F$13),R219,0)+IF(AND('Your debts'!$F$9&lt;&gt;"",'Your debts'!$F$13&lt;&gt;"",'Your debts'!$F$9&lt;'Your debts'!$F$13),W219,0)+IF(AND('Your debts'!$F$10&lt;&gt;"",'Your debts'!$F$13&lt;&gt;"",'Your debts'!$F$10&lt;'Your debts'!$F$13),AB219,0)+IF(AND('Your debts'!$F$11&lt;&gt;"",'Your debts'!$F$13&lt;&gt;"",'Your debts'!$F$11&lt;'Your debts'!$F$13),AG219,0)+IF(AND('Your debts'!$F$12&lt;&gt;"",'Your debts'!$F$13&lt;&gt;"",'Your debts'!$F$12&lt;'Your debts'!$F$13),AL219,0)+IF(AND('Your debts'!$F$14&lt;&gt;"",'Your debts'!$F$13&lt;&gt;"",'Your debts'!$F$14&lt;'Your debts'!$F$13),AV219,0)+IF(AND('Your debts'!$F$15&lt;&gt;"",'Your debts'!$F$13&lt;&gt;"",'Your debts'!$F$15&lt;'Your debts'!$F$13),BA219,0)))))</f>
        <v/>
      </c>
      <c r="AS219" s="33">
        <f>AQ219-AR219</f>
        <v/>
      </c>
      <c r="AT219" s="33">
        <f>IF(AX218&lt;=0,0,ROUND(AX218*(1+'Your debts'!$D$14/1200),2))</f>
        <v/>
      </c>
      <c r="AU219" s="33">
        <f>IF(AT219&lt;=0,0,MIN('Your debts'!$E$14,AT219))</f>
        <v/>
      </c>
      <c r="AV219" s="33">
        <f>AT219-AU219</f>
        <v/>
      </c>
      <c r="AW219" s="33">
        <f>IF('Your debts'!$F$14="",0,MIN(AV219,MAX(0,MAX(0,'Your debts'!$C$19-(G219+L219+Q219+V219+AA219+AF219+AK219+AP219+AU219+AZ219))-(IF(AND('Your debts'!$F$6&lt;&gt;"",'Your debts'!$F$14&lt;&gt;"",'Your debts'!$F$6&lt;'Your debts'!$F$14),H219,0)+IF(AND('Your debts'!$F$7&lt;&gt;"",'Your debts'!$F$14&lt;&gt;"",'Your debts'!$F$7&lt;'Your debts'!$F$14),M219,0)+IF(AND('Your debts'!$F$8&lt;&gt;"",'Your debts'!$F$14&lt;&gt;"",'Your debts'!$F$8&lt;'Your debts'!$F$14),R219,0)+IF(AND('Your debts'!$F$9&lt;&gt;"",'Your debts'!$F$14&lt;&gt;"",'Your debts'!$F$9&lt;'Your debts'!$F$14),W219,0)+IF(AND('Your debts'!$F$10&lt;&gt;"",'Your debts'!$F$14&lt;&gt;"",'Your debts'!$F$10&lt;'Your debts'!$F$14),AB219,0)+IF(AND('Your debts'!$F$11&lt;&gt;"",'Your debts'!$F$14&lt;&gt;"",'Your debts'!$F$11&lt;'Your debts'!$F$14),AG219,0)+IF(AND('Your debts'!$F$12&lt;&gt;"",'Your debts'!$F$14&lt;&gt;"",'Your debts'!$F$12&lt;'Your debts'!$F$14),AL219,0)+IF(AND('Your debts'!$F$13&lt;&gt;"",'Your debts'!$F$14&lt;&gt;"",'Your debts'!$F$13&lt;'Your debts'!$F$14),AQ219,0)+IF(AND('Your debts'!$F$15&lt;&gt;"",'Your debts'!$F$14&lt;&gt;"",'Your debts'!$F$15&lt;'Your debts'!$F$14),BA219,0)))))</f>
        <v/>
      </c>
      <c r="AX219" s="33">
        <f>AV219-AW219</f>
        <v/>
      </c>
      <c r="AY219" s="33">
        <f>IF(BC218&lt;=0,0,ROUND(BC218*(1+'Your debts'!$D$15/1200),2))</f>
        <v/>
      </c>
      <c r="AZ219" s="33">
        <f>IF(AY219&lt;=0,0,MIN('Your debts'!$E$15,AY219))</f>
        <v/>
      </c>
      <c r="BA219" s="33">
        <f>AY219-AZ219</f>
        <v/>
      </c>
      <c r="BB219" s="33">
        <f>IF('Your debts'!$F$15="",0,MIN(BA219,MAX(0,MAX(0,'Your debts'!$C$19-(G219+L219+Q219+V219+AA219+AF219+AK219+AP219+AU219+AZ219))-(IF(AND('Your debts'!$F$6&lt;&gt;"",'Your debts'!$F$15&lt;&gt;"",'Your debts'!$F$6&lt;'Your debts'!$F$15),H219,0)+IF(AND('Your debts'!$F$7&lt;&gt;"",'Your debts'!$F$15&lt;&gt;"",'Your debts'!$F$7&lt;'Your debts'!$F$15),M219,0)+IF(AND('Your debts'!$F$8&lt;&gt;"",'Your debts'!$F$15&lt;&gt;"",'Your debts'!$F$8&lt;'Your debts'!$F$15),R219,0)+IF(AND('Your debts'!$F$9&lt;&gt;"",'Your debts'!$F$15&lt;&gt;"",'Your debts'!$F$9&lt;'Your debts'!$F$15),W219,0)+IF(AND('Your debts'!$F$10&lt;&gt;"",'Your debts'!$F$15&lt;&gt;"",'Your debts'!$F$10&lt;'Your debts'!$F$15),AB219,0)+IF(AND('Your debts'!$F$11&lt;&gt;"",'Your debts'!$F$15&lt;&gt;"",'Your debts'!$F$11&lt;'Your debts'!$F$15),AG219,0)+IF(AND('Your debts'!$F$12&lt;&gt;"",'Your debts'!$F$15&lt;&gt;"",'Your debts'!$F$12&lt;'Your debts'!$F$15),AL219,0)+IF(AND('Your debts'!$F$13&lt;&gt;"",'Your debts'!$F$15&lt;&gt;"",'Your debts'!$F$13&lt;'Your debts'!$F$15),AQ219,0)+IF(AND('Your debts'!$F$14&lt;&gt;"",'Your debts'!$F$15&lt;&gt;"",'Your debts'!$F$14&lt;'Your debts'!$F$15),AV219,0)))))</f>
        <v/>
      </c>
      <c r="BC219" s="33">
        <f>BA219-BB219</f>
        <v/>
      </c>
    </row>
    <row r="220">
      <c r="A220" s="30" t="n">
        <v>205</v>
      </c>
      <c r="B220" s="31">
        <f>EDATE($B$15,205)</f>
        <v/>
      </c>
      <c r="C220" s="32">
        <f>IF(J219&lt;=0,0,F220-J219)+IF(O219&lt;=0,0,K220-O219)+IF(T219&lt;=0,0,P220-T219)+IF(Y219&lt;=0,0,U220-Y219)+IF(AD219&lt;=0,0,Z220-AD219)+IF(AI219&lt;=0,0,AE220-AI219)+IF(AN219&lt;=0,0,AJ220-AN219)+IF(AS219&lt;=0,0,AO220-AS219)+IF(AX219&lt;=0,0,AT220-AX219)+IF(BC219&lt;=0,0,AY220-BC219)</f>
        <v/>
      </c>
      <c r="D220" s="32">
        <f>G220+I220+L220+N220+Q220+S220+V220+X220+AA220+AC220+AF220+AH220+AK220+AM220+AP220+AR220+AU220+AW220+AZ220+BB220</f>
        <v/>
      </c>
      <c r="E220" s="32">
        <f>J220+O220+T220+Y220+AD220+AI220+AN220+AS220+AX220+BC220</f>
        <v/>
      </c>
      <c r="F220" s="33">
        <f>IF(J219&lt;=0,0,ROUND(J219*(1+'Your debts'!$D$6/1200),2))</f>
        <v/>
      </c>
      <c r="G220" s="33">
        <f>IF(F220&lt;=0,0,MIN('Your debts'!$E$6,F220))</f>
        <v/>
      </c>
      <c r="H220" s="33">
        <f>F220-G220</f>
        <v/>
      </c>
      <c r="I220" s="33">
        <f>IF('Your debts'!$F$6="",0,MIN(H220,MAX(0,MAX(0,'Your debts'!$C$19-(G220+L220+Q220+V220+AA220+AF220+AK220+AP220+AU220+AZ220))-(IF(AND('Your debts'!$F$7&lt;&gt;"",'Your debts'!$F$6&lt;&gt;"",'Your debts'!$F$7&lt;'Your debts'!$F$6),M220,0)+IF(AND('Your debts'!$F$8&lt;&gt;"",'Your debts'!$F$6&lt;&gt;"",'Your debts'!$F$8&lt;'Your debts'!$F$6),R220,0)+IF(AND('Your debts'!$F$9&lt;&gt;"",'Your debts'!$F$6&lt;&gt;"",'Your debts'!$F$9&lt;'Your debts'!$F$6),W220,0)+IF(AND('Your debts'!$F$10&lt;&gt;"",'Your debts'!$F$6&lt;&gt;"",'Your debts'!$F$10&lt;'Your debts'!$F$6),AB220,0)+IF(AND('Your debts'!$F$11&lt;&gt;"",'Your debts'!$F$6&lt;&gt;"",'Your debts'!$F$11&lt;'Your debts'!$F$6),AG220,0)+IF(AND('Your debts'!$F$12&lt;&gt;"",'Your debts'!$F$6&lt;&gt;"",'Your debts'!$F$12&lt;'Your debts'!$F$6),AL220,0)+IF(AND('Your debts'!$F$13&lt;&gt;"",'Your debts'!$F$6&lt;&gt;"",'Your debts'!$F$13&lt;'Your debts'!$F$6),AQ220,0)+IF(AND('Your debts'!$F$14&lt;&gt;"",'Your debts'!$F$6&lt;&gt;"",'Your debts'!$F$14&lt;'Your debts'!$F$6),AV220,0)+IF(AND('Your debts'!$F$15&lt;&gt;"",'Your debts'!$F$6&lt;&gt;"",'Your debts'!$F$15&lt;'Your debts'!$F$6),BA220,0)))))</f>
        <v/>
      </c>
      <c r="J220" s="33">
        <f>H220-I220</f>
        <v/>
      </c>
      <c r="K220" s="33">
        <f>IF(O219&lt;=0,0,ROUND(O219*(1+'Your debts'!$D$7/1200),2))</f>
        <v/>
      </c>
      <c r="L220" s="33">
        <f>IF(K220&lt;=0,0,MIN('Your debts'!$E$7,K220))</f>
        <v/>
      </c>
      <c r="M220" s="33">
        <f>K220-L220</f>
        <v/>
      </c>
      <c r="N220" s="33">
        <f>IF('Your debts'!$F$7="",0,MIN(M220,MAX(0,MAX(0,'Your debts'!$C$19-(G220+L220+Q220+V220+AA220+AF220+AK220+AP220+AU220+AZ220))-(IF(AND('Your debts'!$F$6&lt;&gt;"",'Your debts'!$F$7&lt;&gt;"",'Your debts'!$F$6&lt;'Your debts'!$F$7),H220,0)+IF(AND('Your debts'!$F$8&lt;&gt;"",'Your debts'!$F$7&lt;&gt;"",'Your debts'!$F$8&lt;'Your debts'!$F$7),R220,0)+IF(AND('Your debts'!$F$9&lt;&gt;"",'Your debts'!$F$7&lt;&gt;"",'Your debts'!$F$9&lt;'Your debts'!$F$7),W220,0)+IF(AND('Your debts'!$F$10&lt;&gt;"",'Your debts'!$F$7&lt;&gt;"",'Your debts'!$F$10&lt;'Your debts'!$F$7),AB220,0)+IF(AND('Your debts'!$F$11&lt;&gt;"",'Your debts'!$F$7&lt;&gt;"",'Your debts'!$F$11&lt;'Your debts'!$F$7),AG220,0)+IF(AND('Your debts'!$F$12&lt;&gt;"",'Your debts'!$F$7&lt;&gt;"",'Your debts'!$F$12&lt;'Your debts'!$F$7),AL220,0)+IF(AND('Your debts'!$F$13&lt;&gt;"",'Your debts'!$F$7&lt;&gt;"",'Your debts'!$F$13&lt;'Your debts'!$F$7),AQ220,0)+IF(AND('Your debts'!$F$14&lt;&gt;"",'Your debts'!$F$7&lt;&gt;"",'Your debts'!$F$14&lt;'Your debts'!$F$7),AV220,0)+IF(AND('Your debts'!$F$15&lt;&gt;"",'Your debts'!$F$7&lt;&gt;"",'Your debts'!$F$15&lt;'Your debts'!$F$7),BA220,0)))))</f>
        <v/>
      </c>
      <c r="O220" s="33">
        <f>M220-N220</f>
        <v/>
      </c>
      <c r="P220" s="33">
        <f>IF(T219&lt;=0,0,ROUND(T219*(1+'Your debts'!$D$8/1200),2))</f>
        <v/>
      </c>
      <c r="Q220" s="33">
        <f>IF(P220&lt;=0,0,MIN('Your debts'!$E$8,P220))</f>
        <v/>
      </c>
      <c r="R220" s="33">
        <f>P220-Q220</f>
        <v/>
      </c>
      <c r="S220" s="33">
        <f>IF('Your debts'!$F$8="",0,MIN(R220,MAX(0,MAX(0,'Your debts'!$C$19-(G220+L220+Q220+V220+AA220+AF220+AK220+AP220+AU220+AZ220))-(IF(AND('Your debts'!$F$6&lt;&gt;"",'Your debts'!$F$8&lt;&gt;"",'Your debts'!$F$6&lt;'Your debts'!$F$8),H220,0)+IF(AND('Your debts'!$F$7&lt;&gt;"",'Your debts'!$F$8&lt;&gt;"",'Your debts'!$F$7&lt;'Your debts'!$F$8),M220,0)+IF(AND('Your debts'!$F$9&lt;&gt;"",'Your debts'!$F$8&lt;&gt;"",'Your debts'!$F$9&lt;'Your debts'!$F$8),W220,0)+IF(AND('Your debts'!$F$10&lt;&gt;"",'Your debts'!$F$8&lt;&gt;"",'Your debts'!$F$10&lt;'Your debts'!$F$8),AB220,0)+IF(AND('Your debts'!$F$11&lt;&gt;"",'Your debts'!$F$8&lt;&gt;"",'Your debts'!$F$11&lt;'Your debts'!$F$8),AG220,0)+IF(AND('Your debts'!$F$12&lt;&gt;"",'Your debts'!$F$8&lt;&gt;"",'Your debts'!$F$12&lt;'Your debts'!$F$8),AL220,0)+IF(AND('Your debts'!$F$13&lt;&gt;"",'Your debts'!$F$8&lt;&gt;"",'Your debts'!$F$13&lt;'Your debts'!$F$8),AQ220,0)+IF(AND('Your debts'!$F$14&lt;&gt;"",'Your debts'!$F$8&lt;&gt;"",'Your debts'!$F$14&lt;'Your debts'!$F$8),AV220,0)+IF(AND('Your debts'!$F$15&lt;&gt;"",'Your debts'!$F$8&lt;&gt;"",'Your debts'!$F$15&lt;'Your debts'!$F$8),BA220,0)))))</f>
        <v/>
      </c>
      <c r="T220" s="33">
        <f>R220-S220</f>
        <v/>
      </c>
      <c r="U220" s="33">
        <f>IF(Y219&lt;=0,0,ROUND(Y219*(1+'Your debts'!$D$9/1200),2))</f>
        <v/>
      </c>
      <c r="V220" s="33">
        <f>IF(U220&lt;=0,0,MIN('Your debts'!$E$9,U220))</f>
        <v/>
      </c>
      <c r="W220" s="33">
        <f>U220-V220</f>
        <v/>
      </c>
      <c r="X220" s="33">
        <f>IF('Your debts'!$F$9="",0,MIN(W220,MAX(0,MAX(0,'Your debts'!$C$19-(G220+L220+Q220+V220+AA220+AF220+AK220+AP220+AU220+AZ220))-(IF(AND('Your debts'!$F$6&lt;&gt;"",'Your debts'!$F$9&lt;&gt;"",'Your debts'!$F$6&lt;'Your debts'!$F$9),H220,0)+IF(AND('Your debts'!$F$7&lt;&gt;"",'Your debts'!$F$9&lt;&gt;"",'Your debts'!$F$7&lt;'Your debts'!$F$9),M220,0)+IF(AND('Your debts'!$F$8&lt;&gt;"",'Your debts'!$F$9&lt;&gt;"",'Your debts'!$F$8&lt;'Your debts'!$F$9),R220,0)+IF(AND('Your debts'!$F$10&lt;&gt;"",'Your debts'!$F$9&lt;&gt;"",'Your debts'!$F$10&lt;'Your debts'!$F$9),AB220,0)+IF(AND('Your debts'!$F$11&lt;&gt;"",'Your debts'!$F$9&lt;&gt;"",'Your debts'!$F$11&lt;'Your debts'!$F$9),AG220,0)+IF(AND('Your debts'!$F$12&lt;&gt;"",'Your debts'!$F$9&lt;&gt;"",'Your debts'!$F$12&lt;'Your debts'!$F$9),AL220,0)+IF(AND('Your debts'!$F$13&lt;&gt;"",'Your debts'!$F$9&lt;&gt;"",'Your debts'!$F$13&lt;'Your debts'!$F$9),AQ220,0)+IF(AND('Your debts'!$F$14&lt;&gt;"",'Your debts'!$F$9&lt;&gt;"",'Your debts'!$F$14&lt;'Your debts'!$F$9),AV220,0)+IF(AND('Your debts'!$F$15&lt;&gt;"",'Your debts'!$F$9&lt;&gt;"",'Your debts'!$F$15&lt;'Your debts'!$F$9),BA220,0)))))</f>
        <v/>
      </c>
      <c r="Y220" s="33">
        <f>W220-X220</f>
        <v/>
      </c>
      <c r="Z220" s="33">
        <f>IF(AD219&lt;=0,0,ROUND(AD219*(1+'Your debts'!$D$10/1200),2))</f>
        <v/>
      </c>
      <c r="AA220" s="33">
        <f>IF(Z220&lt;=0,0,MIN('Your debts'!$E$10,Z220))</f>
        <v/>
      </c>
      <c r="AB220" s="33">
        <f>Z220-AA220</f>
        <v/>
      </c>
      <c r="AC220" s="33">
        <f>IF('Your debts'!$F$10="",0,MIN(AB220,MAX(0,MAX(0,'Your debts'!$C$19-(G220+L220+Q220+V220+AA220+AF220+AK220+AP220+AU220+AZ220))-(IF(AND('Your debts'!$F$6&lt;&gt;"",'Your debts'!$F$10&lt;&gt;"",'Your debts'!$F$6&lt;'Your debts'!$F$10),H220,0)+IF(AND('Your debts'!$F$7&lt;&gt;"",'Your debts'!$F$10&lt;&gt;"",'Your debts'!$F$7&lt;'Your debts'!$F$10),M220,0)+IF(AND('Your debts'!$F$8&lt;&gt;"",'Your debts'!$F$10&lt;&gt;"",'Your debts'!$F$8&lt;'Your debts'!$F$10),R220,0)+IF(AND('Your debts'!$F$9&lt;&gt;"",'Your debts'!$F$10&lt;&gt;"",'Your debts'!$F$9&lt;'Your debts'!$F$10),W220,0)+IF(AND('Your debts'!$F$11&lt;&gt;"",'Your debts'!$F$10&lt;&gt;"",'Your debts'!$F$11&lt;'Your debts'!$F$10),AG220,0)+IF(AND('Your debts'!$F$12&lt;&gt;"",'Your debts'!$F$10&lt;&gt;"",'Your debts'!$F$12&lt;'Your debts'!$F$10),AL220,0)+IF(AND('Your debts'!$F$13&lt;&gt;"",'Your debts'!$F$10&lt;&gt;"",'Your debts'!$F$13&lt;'Your debts'!$F$10),AQ220,0)+IF(AND('Your debts'!$F$14&lt;&gt;"",'Your debts'!$F$10&lt;&gt;"",'Your debts'!$F$14&lt;'Your debts'!$F$10),AV220,0)+IF(AND('Your debts'!$F$15&lt;&gt;"",'Your debts'!$F$10&lt;&gt;"",'Your debts'!$F$15&lt;'Your debts'!$F$10),BA220,0)))))</f>
        <v/>
      </c>
      <c r="AD220" s="33">
        <f>AB220-AC220</f>
        <v/>
      </c>
      <c r="AE220" s="33">
        <f>IF(AI219&lt;=0,0,ROUND(AI219*(1+'Your debts'!$D$11/1200),2))</f>
        <v/>
      </c>
      <c r="AF220" s="33">
        <f>IF(AE220&lt;=0,0,MIN('Your debts'!$E$11,AE220))</f>
        <v/>
      </c>
      <c r="AG220" s="33">
        <f>AE220-AF220</f>
        <v/>
      </c>
      <c r="AH220" s="33">
        <f>IF('Your debts'!$F$11="",0,MIN(AG220,MAX(0,MAX(0,'Your debts'!$C$19-(G220+L220+Q220+V220+AA220+AF220+AK220+AP220+AU220+AZ220))-(IF(AND('Your debts'!$F$6&lt;&gt;"",'Your debts'!$F$11&lt;&gt;"",'Your debts'!$F$6&lt;'Your debts'!$F$11),H220,0)+IF(AND('Your debts'!$F$7&lt;&gt;"",'Your debts'!$F$11&lt;&gt;"",'Your debts'!$F$7&lt;'Your debts'!$F$11),M220,0)+IF(AND('Your debts'!$F$8&lt;&gt;"",'Your debts'!$F$11&lt;&gt;"",'Your debts'!$F$8&lt;'Your debts'!$F$11),R220,0)+IF(AND('Your debts'!$F$9&lt;&gt;"",'Your debts'!$F$11&lt;&gt;"",'Your debts'!$F$9&lt;'Your debts'!$F$11),W220,0)+IF(AND('Your debts'!$F$10&lt;&gt;"",'Your debts'!$F$11&lt;&gt;"",'Your debts'!$F$10&lt;'Your debts'!$F$11),AB220,0)+IF(AND('Your debts'!$F$12&lt;&gt;"",'Your debts'!$F$11&lt;&gt;"",'Your debts'!$F$12&lt;'Your debts'!$F$11),AL220,0)+IF(AND('Your debts'!$F$13&lt;&gt;"",'Your debts'!$F$11&lt;&gt;"",'Your debts'!$F$13&lt;'Your debts'!$F$11),AQ220,0)+IF(AND('Your debts'!$F$14&lt;&gt;"",'Your debts'!$F$11&lt;&gt;"",'Your debts'!$F$14&lt;'Your debts'!$F$11),AV220,0)+IF(AND('Your debts'!$F$15&lt;&gt;"",'Your debts'!$F$11&lt;&gt;"",'Your debts'!$F$15&lt;'Your debts'!$F$11),BA220,0)))))</f>
        <v/>
      </c>
      <c r="AI220" s="33">
        <f>AG220-AH220</f>
        <v/>
      </c>
      <c r="AJ220" s="33">
        <f>IF(AN219&lt;=0,0,ROUND(AN219*(1+'Your debts'!$D$12/1200),2))</f>
        <v/>
      </c>
      <c r="AK220" s="33">
        <f>IF(AJ220&lt;=0,0,MIN('Your debts'!$E$12,AJ220))</f>
        <v/>
      </c>
      <c r="AL220" s="33">
        <f>AJ220-AK220</f>
        <v/>
      </c>
      <c r="AM220" s="33">
        <f>IF('Your debts'!$F$12="",0,MIN(AL220,MAX(0,MAX(0,'Your debts'!$C$19-(G220+L220+Q220+V220+AA220+AF220+AK220+AP220+AU220+AZ220))-(IF(AND('Your debts'!$F$6&lt;&gt;"",'Your debts'!$F$12&lt;&gt;"",'Your debts'!$F$6&lt;'Your debts'!$F$12),H220,0)+IF(AND('Your debts'!$F$7&lt;&gt;"",'Your debts'!$F$12&lt;&gt;"",'Your debts'!$F$7&lt;'Your debts'!$F$12),M220,0)+IF(AND('Your debts'!$F$8&lt;&gt;"",'Your debts'!$F$12&lt;&gt;"",'Your debts'!$F$8&lt;'Your debts'!$F$12),R220,0)+IF(AND('Your debts'!$F$9&lt;&gt;"",'Your debts'!$F$12&lt;&gt;"",'Your debts'!$F$9&lt;'Your debts'!$F$12),W220,0)+IF(AND('Your debts'!$F$10&lt;&gt;"",'Your debts'!$F$12&lt;&gt;"",'Your debts'!$F$10&lt;'Your debts'!$F$12),AB220,0)+IF(AND('Your debts'!$F$11&lt;&gt;"",'Your debts'!$F$12&lt;&gt;"",'Your debts'!$F$11&lt;'Your debts'!$F$12),AG220,0)+IF(AND('Your debts'!$F$13&lt;&gt;"",'Your debts'!$F$12&lt;&gt;"",'Your debts'!$F$13&lt;'Your debts'!$F$12),AQ220,0)+IF(AND('Your debts'!$F$14&lt;&gt;"",'Your debts'!$F$12&lt;&gt;"",'Your debts'!$F$14&lt;'Your debts'!$F$12),AV220,0)+IF(AND('Your debts'!$F$15&lt;&gt;"",'Your debts'!$F$12&lt;&gt;"",'Your debts'!$F$15&lt;'Your debts'!$F$12),BA220,0)))))</f>
        <v/>
      </c>
      <c r="AN220" s="33">
        <f>AL220-AM220</f>
        <v/>
      </c>
      <c r="AO220" s="33">
        <f>IF(AS219&lt;=0,0,ROUND(AS219*(1+'Your debts'!$D$13/1200),2))</f>
        <v/>
      </c>
      <c r="AP220" s="33">
        <f>IF(AO220&lt;=0,0,MIN('Your debts'!$E$13,AO220))</f>
        <v/>
      </c>
      <c r="AQ220" s="33">
        <f>AO220-AP220</f>
        <v/>
      </c>
      <c r="AR220" s="33">
        <f>IF('Your debts'!$F$13="",0,MIN(AQ220,MAX(0,MAX(0,'Your debts'!$C$19-(G220+L220+Q220+V220+AA220+AF220+AK220+AP220+AU220+AZ220))-(IF(AND('Your debts'!$F$6&lt;&gt;"",'Your debts'!$F$13&lt;&gt;"",'Your debts'!$F$6&lt;'Your debts'!$F$13),H220,0)+IF(AND('Your debts'!$F$7&lt;&gt;"",'Your debts'!$F$13&lt;&gt;"",'Your debts'!$F$7&lt;'Your debts'!$F$13),M220,0)+IF(AND('Your debts'!$F$8&lt;&gt;"",'Your debts'!$F$13&lt;&gt;"",'Your debts'!$F$8&lt;'Your debts'!$F$13),R220,0)+IF(AND('Your debts'!$F$9&lt;&gt;"",'Your debts'!$F$13&lt;&gt;"",'Your debts'!$F$9&lt;'Your debts'!$F$13),W220,0)+IF(AND('Your debts'!$F$10&lt;&gt;"",'Your debts'!$F$13&lt;&gt;"",'Your debts'!$F$10&lt;'Your debts'!$F$13),AB220,0)+IF(AND('Your debts'!$F$11&lt;&gt;"",'Your debts'!$F$13&lt;&gt;"",'Your debts'!$F$11&lt;'Your debts'!$F$13),AG220,0)+IF(AND('Your debts'!$F$12&lt;&gt;"",'Your debts'!$F$13&lt;&gt;"",'Your debts'!$F$12&lt;'Your debts'!$F$13),AL220,0)+IF(AND('Your debts'!$F$14&lt;&gt;"",'Your debts'!$F$13&lt;&gt;"",'Your debts'!$F$14&lt;'Your debts'!$F$13),AV220,0)+IF(AND('Your debts'!$F$15&lt;&gt;"",'Your debts'!$F$13&lt;&gt;"",'Your debts'!$F$15&lt;'Your debts'!$F$13),BA220,0)))))</f>
        <v/>
      </c>
      <c r="AS220" s="33">
        <f>AQ220-AR220</f>
        <v/>
      </c>
      <c r="AT220" s="33">
        <f>IF(AX219&lt;=0,0,ROUND(AX219*(1+'Your debts'!$D$14/1200),2))</f>
        <v/>
      </c>
      <c r="AU220" s="33">
        <f>IF(AT220&lt;=0,0,MIN('Your debts'!$E$14,AT220))</f>
        <v/>
      </c>
      <c r="AV220" s="33">
        <f>AT220-AU220</f>
        <v/>
      </c>
      <c r="AW220" s="33">
        <f>IF('Your debts'!$F$14="",0,MIN(AV220,MAX(0,MAX(0,'Your debts'!$C$19-(G220+L220+Q220+V220+AA220+AF220+AK220+AP220+AU220+AZ220))-(IF(AND('Your debts'!$F$6&lt;&gt;"",'Your debts'!$F$14&lt;&gt;"",'Your debts'!$F$6&lt;'Your debts'!$F$14),H220,0)+IF(AND('Your debts'!$F$7&lt;&gt;"",'Your debts'!$F$14&lt;&gt;"",'Your debts'!$F$7&lt;'Your debts'!$F$14),M220,0)+IF(AND('Your debts'!$F$8&lt;&gt;"",'Your debts'!$F$14&lt;&gt;"",'Your debts'!$F$8&lt;'Your debts'!$F$14),R220,0)+IF(AND('Your debts'!$F$9&lt;&gt;"",'Your debts'!$F$14&lt;&gt;"",'Your debts'!$F$9&lt;'Your debts'!$F$14),W220,0)+IF(AND('Your debts'!$F$10&lt;&gt;"",'Your debts'!$F$14&lt;&gt;"",'Your debts'!$F$10&lt;'Your debts'!$F$14),AB220,0)+IF(AND('Your debts'!$F$11&lt;&gt;"",'Your debts'!$F$14&lt;&gt;"",'Your debts'!$F$11&lt;'Your debts'!$F$14),AG220,0)+IF(AND('Your debts'!$F$12&lt;&gt;"",'Your debts'!$F$14&lt;&gt;"",'Your debts'!$F$12&lt;'Your debts'!$F$14),AL220,0)+IF(AND('Your debts'!$F$13&lt;&gt;"",'Your debts'!$F$14&lt;&gt;"",'Your debts'!$F$13&lt;'Your debts'!$F$14),AQ220,0)+IF(AND('Your debts'!$F$15&lt;&gt;"",'Your debts'!$F$14&lt;&gt;"",'Your debts'!$F$15&lt;'Your debts'!$F$14),BA220,0)))))</f>
        <v/>
      </c>
      <c r="AX220" s="33">
        <f>AV220-AW220</f>
        <v/>
      </c>
      <c r="AY220" s="33">
        <f>IF(BC219&lt;=0,0,ROUND(BC219*(1+'Your debts'!$D$15/1200),2))</f>
        <v/>
      </c>
      <c r="AZ220" s="33">
        <f>IF(AY220&lt;=0,0,MIN('Your debts'!$E$15,AY220))</f>
        <v/>
      </c>
      <c r="BA220" s="33">
        <f>AY220-AZ220</f>
        <v/>
      </c>
      <c r="BB220" s="33">
        <f>IF('Your debts'!$F$15="",0,MIN(BA220,MAX(0,MAX(0,'Your debts'!$C$19-(G220+L220+Q220+V220+AA220+AF220+AK220+AP220+AU220+AZ220))-(IF(AND('Your debts'!$F$6&lt;&gt;"",'Your debts'!$F$15&lt;&gt;"",'Your debts'!$F$6&lt;'Your debts'!$F$15),H220,0)+IF(AND('Your debts'!$F$7&lt;&gt;"",'Your debts'!$F$15&lt;&gt;"",'Your debts'!$F$7&lt;'Your debts'!$F$15),M220,0)+IF(AND('Your debts'!$F$8&lt;&gt;"",'Your debts'!$F$15&lt;&gt;"",'Your debts'!$F$8&lt;'Your debts'!$F$15),R220,0)+IF(AND('Your debts'!$F$9&lt;&gt;"",'Your debts'!$F$15&lt;&gt;"",'Your debts'!$F$9&lt;'Your debts'!$F$15),W220,0)+IF(AND('Your debts'!$F$10&lt;&gt;"",'Your debts'!$F$15&lt;&gt;"",'Your debts'!$F$10&lt;'Your debts'!$F$15),AB220,0)+IF(AND('Your debts'!$F$11&lt;&gt;"",'Your debts'!$F$15&lt;&gt;"",'Your debts'!$F$11&lt;'Your debts'!$F$15),AG220,0)+IF(AND('Your debts'!$F$12&lt;&gt;"",'Your debts'!$F$15&lt;&gt;"",'Your debts'!$F$12&lt;'Your debts'!$F$15),AL220,0)+IF(AND('Your debts'!$F$13&lt;&gt;"",'Your debts'!$F$15&lt;&gt;"",'Your debts'!$F$13&lt;'Your debts'!$F$15),AQ220,0)+IF(AND('Your debts'!$F$14&lt;&gt;"",'Your debts'!$F$15&lt;&gt;"",'Your debts'!$F$14&lt;'Your debts'!$F$15),AV220,0)))))</f>
        <v/>
      </c>
      <c r="BC220" s="33">
        <f>BA220-BB220</f>
        <v/>
      </c>
    </row>
    <row r="221">
      <c r="A221" s="30" t="n">
        <v>206</v>
      </c>
      <c r="B221" s="31">
        <f>EDATE($B$15,206)</f>
        <v/>
      </c>
      <c r="C221" s="32">
        <f>IF(J220&lt;=0,0,F221-J220)+IF(O220&lt;=0,0,K221-O220)+IF(T220&lt;=0,0,P221-T220)+IF(Y220&lt;=0,0,U221-Y220)+IF(AD220&lt;=0,0,Z221-AD220)+IF(AI220&lt;=0,0,AE221-AI220)+IF(AN220&lt;=0,0,AJ221-AN220)+IF(AS220&lt;=0,0,AO221-AS220)+IF(AX220&lt;=0,0,AT221-AX220)+IF(BC220&lt;=0,0,AY221-BC220)</f>
        <v/>
      </c>
      <c r="D221" s="32">
        <f>G221+I221+L221+N221+Q221+S221+V221+X221+AA221+AC221+AF221+AH221+AK221+AM221+AP221+AR221+AU221+AW221+AZ221+BB221</f>
        <v/>
      </c>
      <c r="E221" s="32">
        <f>J221+O221+T221+Y221+AD221+AI221+AN221+AS221+AX221+BC221</f>
        <v/>
      </c>
      <c r="F221" s="33">
        <f>IF(J220&lt;=0,0,ROUND(J220*(1+'Your debts'!$D$6/1200),2))</f>
        <v/>
      </c>
      <c r="G221" s="33">
        <f>IF(F221&lt;=0,0,MIN('Your debts'!$E$6,F221))</f>
        <v/>
      </c>
      <c r="H221" s="33">
        <f>F221-G221</f>
        <v/>
      </c>
      <c r="I221" s="33">
        <f>IF('Your debts'!$F$6="",0,MIN(H221,MAX(0,MAX(0,'Your debts'!$C$19-(G221+L221+Q221+V221+AA221+AF221+AK221+AP221+AU221+AZ221))-(IF(AND('Your debts'!$F$7&lt;&gt;"",'Your debts'!$F$6&lt;&gt;"",'Your debts'!$F$7&lt;'Your debts'!$F$6),M221,0)+IF(AND('Your debts'!$F$8&lt;&gt;"",'Your debts'!$F$6&lt;&gt;"",'Your debts'!$F$8&lt;'Your debts'!$F$6),R221,0)+IF(AND('Your debts'!$F$9&lt;&gt;"",'Your debts'!$F$6&lt;&gt;"",'Your debts'!$F$9&lt;'Your debts'!$F$6),W221,0)+IF(AND('Your debts'!$F$10&lt;&gt;"",'Your debts'!$F$6&lt;&gt;"",'Your debts'!$F$10&lt;'Your debts'!$F$6),AB221,0)+IF(AND('Your debts'!$F$11&lt;&gt;"",'Your debts'!$F$6&lt;&gt;"",'Your debts'!$F$11&lt;'Your debts'!$F$6),AG221,0)+IF(AND('Your debts'!$F$12&lt;&gt;"",'Your debts'!$F$6&lt;&gt;"",'Your debts'!$F$12&lt;'Your debts'!$F$6),AL221,0)+IF(AND('Your debts'!$F$13&lt;&gt;"",'Your debts'!$F$6&lt;&gt;"",'Your debts'!$F$13&lt;'Your debts'!$F$6),AQ221,0)+IF(AND('Your debts'!$F$14&lt;&gt;"",'Your debts'!$F$6&lt;&gt;"",'Your debts'!$F$14&lt;'Your debts'!$F$6),AV221,0)+IF(AND('Your debts'!$F$15&lt;&gt;"",'Your debts'!$F$6&lt;&gt;"",'Your debts'!$F$15&lt;'Your debts'!$F$6),BA221,0)))))</f>
        <v/>
      </c>
      <c r="J221" s="33">
        <f>H221-I221</f>
        <v/>
      </c>
      <c r="K221" s="33">
        <f>IF(O220&lt;=0,0,ROUND(O220*(1+'Your debts'!$D$7/1200),2))</f>
        <v/>
      </c>
      <c r="L221" s="33">
        <f>IF(K221&lt;=0,0,MIN('Your debts'!$E$7,K221))</f>
        <v/>
      </c>
      <c r="M221" s="33">
        <f>K221-L221</f>
        <v/>
      </c>
      <c r="N221" s="33">
        <f>IF('Your debts'!$F$7="",0,MIN(M221,MAX(0,MAX(0,'Your debts'!$C$19-(G221+L221+Q221+V221+AA221+AF221+AK221+AP221+AU221+AZ221))-(IF(AND('Your debts'!$F$6&lt;&gt;"",'Your debts'!$F$7&lt;&gt;"",'Your debts'!$F$6&lt;'Your debts'!$F$7),H221,0)+IF(AND('Your debts'!$F$8&lt;&gt;"",'Your debts'!$F$7&lt;&gt;"",'Your debts'!$F$8&lt;'Your debts'!$F$7),R221,0)+IF(AND('Your debts'!$F$9&lt;&gt;"",'Your debts'!$F$7&lt;&gt;"",'Your debts'!$F$9&lt;'Your debts'!$F$7),W221,0)+IF(AND('Your debts'!$F$10&lt;&gt;"",'Your debts'!$F$7&lt;&gt;"",'Your debts'!$F$10&lt;'Your debts'!$F$7),AB221,0)+IF(AND('Your debts'!$F$11&lt;&gt;"",'Your debts'!$F$7&lt;&gt;"",'Your debts'!$F$11&lt;'Your debts'!$F$7),AG221,0)+IF(AND('Your debts'!$F$12&lt;&gt;"",'Your debts'!$F$7&lt;&gt;"",'Your debts'!$F$12&lt;'Your debts'!$F$7),AL221,0)+IF(AND('Your debts'!$F$13&lt;&gt;"",'Your debts'!$F$7&lt;&gt;"",'Your debts'!$F$13&lt;'Your debts'!$F$7),AQ221,0)+IF(AND('Your debts'!$F$14&lt;&gt;"",'Your debts'!$F$7&lt;&gt;"",'Your debts'!$F$14&lt;'Your debts'!$F$7),AV221,0)+IF(AND('Your debts'!$F$15&lt;&gt;"",'Your debts'!$F$7&lt;&gt;"",'Your debts'!$F$15&lt;'Your debts'!$F$7),BA221,0)))))</f>
        <v/>
      </c>
      <c r="O221" s="33">
        <f>M221-N221</f>
        <v/>
      </c>
      <c r="P221" s="33">
        <f>IF(T220&lt;=0,0,ROUND(T220*(1+'Your debts'!$D$8/1200),2))</f>
        <v/>
      </c>
      <c r="Q221" s="33">
        <f>IF(P221&lt;=0,0,MIN('Your debts'!$E$8,P221))</f>
        <v/>
      </c>
      <c r="R221" s="33">
        <f>P221-Q221</f>
        <v/>
      </c>
      <c r="S221" s="33">
        <f>IF('Your debts'!$F$8="",0,MIN(R221,MAX(0,MAX(0,'Your debts'!$C$19-(G221+L221+Q221+V221+AA221+AF221+AK221+AP221+AU221+AZ221))-(IF(AND('Your debts'!$F$6&lt;&gt;"",'Your debts'!$F$8&lt;&gt;"",'Your debts'!$F$6&lt;'Your debts'!$F$8),H221,0)+IF(AND('Your debts'!$F$7&lt;&gt;"",'Your debts'!$F$8&lt;&gt;"",'Your debts'!$F$7&lt;'Your debts'!$F$8),M221,0)+IF(AND('Your debts'!$F$9&lt;&gt;"",'Your debts'!$F$8&lt;&gt;"",'Your debts'!$F$9&lt;'Your debts'!$F$8),W221,0)+IF(AND('Your debts'!$F$10&lt;&gt;"",'Your debts'!$F$8&lt;&gt;"",'Your debts'!$F$10&lt;'Your debts'!$F$8),AB221,0)+IF(AND('Your debts'!$F$11&lt;&gt;"",'Your debts'!$F$8&lt;&gt;"",'Your debts'!$F$11&lt;'Your debts'!$F$8),AG221,0)+IF(AND('Your debts'!$F$12&lt;&gt;"",'Your debts'!$F$8&lt;&gt;"",'Your debts'!$F$12&lt;'Your debts'!$F$8),AL221,0)+IF(AND('Your debts'!$F$13&lt;&gt;"",'Your debts'!$F$8&lt;&gt;"",'Your debts'!$F$13&lt;'Your debts'!$F$8),AQ221,0)+IF(AND('Your debts'!$F$14&lt;&gt;"",'Your debts'!$F$8&lt;&gt;"",'Your debts'!$F$14&lt;'Your debts'!$F$8),AV221,0)+IF(AND('Your debts'!$F$15&lt;&gt;"",'Your debts'!$F$8&lt;&gt;"",'Your debts'!$F$15&lt;'Your debts'!$F$8),BA221,0)))))</f>
        <v/>
      </c>
      <c r="T221" s="33">
        <f>R221-S221</f>
        <v/>
      </c>
      <c r="U221" s="33">
        <f>IF(Y220&lt;=0,0,ROUND(Y220*(1+'Your debts'!$D$9/1200),2))</f>
        <v/>
      </c>
      <c r="V221" s="33">
        <f>IF(U221&lt;=0,0,MIN('Your debts'!$E$9,U221))</f>
        <v/>
      </c>
      <c r="W221" s="33">
        <f>U221-V221</f>
        <v/>
      </c>
      <c r="X221" s="33">
        <f>IF('Your debts'!$F$9="",0,MIN(W221,MAX(0,MAX(0,'Your debts'!$C$19-(G221+L221+Q221+V221+AA221+AF221+AK221+AP221+AU221+AZ221))-(IF(AND('Your debts'!$F$6&lt;&gt;"",'Your debts'!$F$9&lt;&gt;"",'Your debts'!$F$6&lt;'Your debts'!$F$9),H221,0)+IF(AND('Your debts'!$F$7&lt;&gt;"",'Your debts'!$F$9&lt;&gt;"",'Your debts'!$F$7&lt;'Your debts'!$F$9),M221,0)+IF(AND('Your debts'!$F$8&lt;&gt;"",'Your debts'!$F$9&lt;&gt;"",'Your debts'!$F$8&lt;'Your debts'!$F$9),R221,0)+IF(AND('Your debts'!$F$10&lt;&gt;"",'Your debts'!$F$9&lt;&gt;"",'Your debts'!$F$10&lt;'Your debts'!$F$9),AB221,0)+IF(AND('Your debts'!$F$11&lt;&gt;"",'Your debts'!$F$9&lt;&gt;"",'Your debts'!$F$11&lt;'Your debts'!$F$9),AG221,0)+IF(AND('Your debts'!$F$12&lt;&gt;"",'Your debts'!$F$9&lt;&gt;"",'Your debts'!$F$12&lt;'Your debts'!$F$9),AL221,0)+IF(AND('Your debts'!$F$13&lt;&gt;"",'Your debts'!$F$9&lt;&gt;"",'Your debts'!$F$13&lt;'Your debts'!$F$9),AQ221,0)+IF(AND('Your debts'!$F$14&lt;&gt;"",'Your debts'!$F$9&lt;&gt;"",'Your debts'!$F$14&lt;'Your debts'!$F$9),AV221,0)+IF(AND('Your debts'!$F$15&lt;&gt;"",'Your debts'!$F$9&lt;&gt;"",'Your debts'!$F$15&lt;'Your debts'!$F$9),BA221,0)))))</f>
        <v/>
      </c>
      <c r="Y221" s="33">
        <f>W221-X221</f>
        <v/>
      </c>
      <c r="Z221" s="33">
        <f>IF(AD220&lt;=0,0,ROUND(AD220*(1+'Your debts'!$D$10/1200),2))</f>
        <v/>
      </c>
      <c r="AA221" s="33">
        <f>IF(Z221&lt;=0,0,MIN('Your debts'!$E$10,Z221))</f>
        <v/>
      </c>
      <c r="AB221" s="33">
        <f>Z221-AA221</f>
        <v/>
      </c>
      <c r="AC221" s="33">
        <f>IF('Your debts'!$F$10="",0,MIN(AB221,MAX(0,MAX(0,'Your debts'!$C$19-(G221+L221+Q221+V221+AA221+AF221+AK221+AP221+AU221+AZ221))-(IF(AND('Your debts'!$F$6&lt;&gt;"",'Your debts'!$F$10&lt;&gt;"",'Your debts'!$F$6&lt;'Your debts'!$F$10),H221,0)+IF(AND('Your debts'!$F$7&lt;&gt;"",'Your debts'!$F$10&lt;&gt;"",'Your debts'!$F$7&lt;'Your debts'!$F$10),M221,0)+IF(AND('Your debts'!$F$8&lt;&gt;"",'Your debts'!$F$10&lt;&gt;"",'Your debts'!$F$8&lt;'Your debts'!$F$10),R221,0)+IF(AND('Your debts'!$F$9&lt;&gt;"",'Your debts'!$F$10&lt;&gt;"",'Your debts'!$F$9&lt;'Your debts'!$F$10),W221,0)+IF(AND('Your debts'!$F$11&lt;&gt;"",'Your debts'!$F$10&lt;&gt;"",'Your debts'!$F$11&lt;'Your debts'!$F$10),AG221,0)+IF(AND('Your debts'!$F$12&lt;&gt;"",'Your debts'!$F$10&lt;&gt;"",'Your debts'!$F$12&lt;'Your debts'!$F$10),AL221,0)+IF(AND('Your debts'!$F$13&lt;&gt;"",'Your debts'!$F$10&lt;&gt;"",'Your debts'!$F$13&lt;'Your debts'!$F$10),AQ221,0)+IF(AND('Your debts'!$F$14&lt;&gt;"",'Your debts'!$F$10&lt;&gt;"",'Your debts'!$F$14&lt;'Your debts'!$F$10),AV221,0)+IF(AND('Your debts'!$F$15&lt;&gt;"",'Your debts'!$F$10&lt;&gt;"",'Your debts'!$F$15&lt;'Your debts'!$F$10),BA221,0)))))</f>
        <v/>
      </c>
      <c r="AD221" s="33">
        <f>AB221-AC221</f>
        <v/>
      </c>
      <c r="AE221" s="33">
        <f>IF(AI220&lt;=0,0,ROUND(AI220*(1+'Your debts'!$D$11/1200),2))</f>
        <v/>
      </c>
      <c r="AF221" s="33">
        <f>IF(AE221&lt;=0,0,MIN('Your debts'!$E$11,AE221))</f>
        <v/>
      </c>
      <c r="AG221" s="33">
        <f>AE221-AF221</f>
        <v/>
      </c>
      <c r="AH221" s="33">
        <f>IF('Your debts'!$F$11="",0,MIN(AG221,MAX(0,MAX(0,'Your debts'!$C$19-(G221+L221+Q221+V221+AA221+AF221+AK221+AP221+AU221+AZ221))-(IF(AND('Your debts'!$F$6&lt;&gt;"",'Your debts'!$F$11&lt;&gt;"",'Your debts'!$F$6&lt;'Your debts'!$F$11),H221,0)+IF(AND('Your debts'!$F$7&lt;&gt;"",'Your debts'!$F$11&lt;&gt;"",'Your debts'!$F$7&lt;'Your debts'!$F$11),M221,0)+IF(AND('Your debts'!$F$8&lt;&gt;"",'Your debts'!$F$11&lt;&gt;"",'Your debts'!$F$8&lt;'Your debts'!$F$11),R221,0)+IF(AND('Your debts'!$F$9&lt;&gt;"",'Your debts'!$F$11&lt;&gt;"",'Your debts'!$F$9&lt;'Your debts'!$F$11),W221,0)+IF(AND('Your debts'!$F$10&lt;&gt;"",'Your debts'!$F$11&lt;&gt;"",'Your debts'!$F$10&lt;'Your debts'!$F$11),AB221,0)+IF(AND('Your debts'!$F$12&lt;&gt;"",'Your debts'!$F$11&lt;&gt;"",'Your debts'!$F$12&lt;'Your debts'!$F$11),AL221,0)+IF(AND('Your debts'!$F$13&lt;&gt;"",'Your debts'!$F$11&lt;&gt;"",'Your debts'!$F$13&lt;'Your debts'!$F$11),AQ221,0)+IF(AND('Your debts'!$F$14&lt;&gt;"",'Your debts'!$F$11&lt;&gt;"",'Your debts'!$F$14&lt;'Your debts'!$F$11),AV221,0)+IF(AND('Your debts'!$F$15&lt;&gt;"",'Your debts'!$F$11&lt;&gt;"",'Your debts'!$F$15&lt;'Your debts'!$F$11),BA221,0)))))</f>
        <v/>
      </c>
      <c r="AI221" s="33">
        <f>AG221-AH221</f>
        <v/>
      </c>
      <c r="AJ221" s="33">
        <f>IF(AN220&lt;=0,0,ROUND(AN220*(1+'Your debts'!$D$12/1200),2))</f>
        <v/>
      </c>
      <c r="AK221" s="33">
        <f>IF(AJ221&lt;=0,0,MIN('Your debts'!$E$12,AJ221))</f>
        <v/>
      </c>
      <c r="AL221" s="33">
        <f>AJ221-AK221</f>
        <v/>
      </c>
      <c r="AM221" s="33">
        <f>IF('Your debts'!$F$12="",0,MIN(AL221,MAX(0,MAX(0,'Your debts'!$C$19-(G221+L221+Q221+V221+AA221+AF221+AK221+AP221+AU221+AZ221))-(IF(AND('Your debts'!$F$6&lt;&gt;"",'Your debts'!$F$12&lt;&gt;"",'Your debts'!$F$6&lt;'Your debts'!$F$12),H221,0)+IF(AND('Your debts'!$F$7&lt;&gt;"",'Your debts'!$F$12&lt;&gt;"",'Your debts'!$F$7&lt;'Your debts'!$F$12),M221,0)+IF(AND('Your debts'!$F$8&lt;&gt;"",'Your debts'!$F$12&lt;&gt;"",'Your debts'!$F$8&lt;'Your debts'!$F$12),R221,0)+IF(AND('Your debts'!$F$9&lt;&gt;"",'Your debts'!$F$12&lt;&gt;"",'Your debts'!$F$9&lt;'Your debts'!$F$12),W221,0)+IF(AND('Your debts'!$F$10&lt;&gt;"",'Your debts'!$F$12&lt;&gt;"",'Your debts'!$F$10&lt;'Your debts'!$F$12),AB221,0)+IF(AND('Your debts'!$F$11&lt;&gt;"",'Your debts'!$F$12&lt;&gt;"",'Your debts'!$F$11&lt;'Your debts'!$F$12),AG221,0)+IF(AND('Your debts'!$F$13&lt;&gt;"",'Your debts'!$F$12&lt;&gt;"",'Your debts'!$F$13&lt;'Your debts'!$F$12),AQ221,0)+IF(AND('Your debts'!$F$14&lt;&gt;"",'Your debts'!$F$12&lt;&gt;"",'Your debts'!$F$14&lt;'Your debts'!$F$12),AV221,0)+IF(AND('Your debts'!$F$15&lt;&gt;"",'Your debts'!$F$12&lt;&gt;"",'Your debts'!$F$15&lt;'Your debts'!$F$12),BA221,0)))))</f>
        <v/>
      </c>
      <c r="AN221" s="33">
        <f>AL221-AM221</f>
        <v/>
      </c>
      <c r="AO221" s="33">
        <f>IF(AS220&lt;=0,0,ROUND(AS220*(1+'Your debts'!$D$13/1200),2))</f>
        <v/>
      </c>
      <c r="AP221" s="33">
        <f>IF(AO221&lt;=0,0,MIN('Your debts'!$E$13,AO221))</f>
        <v/>
      </c>
      <c r="AQ221" s="33">
        <f>AO221-AP221</f>
        <v/>
      </c>
      <c r="AR221" s="33">
        <f>IF('Your debts'!$F$13="",0,MIN(AQ221,MAX(0,MAX(0,'Your debts'!$C$19-(G221+L221+Q221+V221+AA221+AF221+AK221+AP221+AU221+AZ221))-(IF(AND('Your debts'!$F$6&lt;&gt;"",'Your debts'!$F$13&lt;&gt;"",'Your debts'!$F$6&lt;'Your debts'!$F$13),H221,0)+IF(AND('Your debts'!$F$7&lt;&gt;"",'Your debts'!$F$13&lt;&gt;"",'Your debts'!$F$7&lt;'Your debts'!$F$13),M221,0)+IF(AND('Your debts'!$F$8&lt;&gt;"",'Your debts'!$F$13&lt;&gt;"",'Your debts'!$F$8&lt;'Your debts'!$F$13),R221,0)+IF(AND('Your debts'!$F$9&lt;&gt;"",'Your debts'!$F$13&lt;&gt;"",'Your debts'!$F$9&lt;'Your debts'!$F$13),W221,0)+IF(AND('Your debts'!$F$10&lt;&gt;"",'Your debts'!$F$13&lt;&gt;"",'Your debts'!$F$10&lt;'Your debts'!$F$13),AB221,0)+IF(AND('Your debts'!$F$11&lt;&gt;"",'Your debts'!$F$13&lt;&gt;"",'Your debts'!$F$11&lt;'Your debts'!$F$13),AG221,0)+IF(AND('Your debts'!$F$12&lt;&gt;"",'Your debts'!$F$13&lt;&gt;"",'Your debts'!$F$12&lt;'Your debts'!$F$13),AL221,0)+IF(AND('Your debts'!$F$14&lt;&gt;"",'Your debts'!$F$13&lt;&gt;"",'Your debts'!$F$14&lt;'Your debts'!$F$13),AV221,0)+IF(AND('Your debts'!$F$15&lt;&gt;"",'Your debts'!$F$13&lt;&gt;"",'Your debts'!$F$15&lt;'Your debts'!$F$13),BA221,0)))))</f>
        <v/>
      </c>
      <c r="AS221" s="33">
        <f>AQ221-AR221</f>
        <v/>
      </c>
      <c r="AT221" s="33">
        <f>IF(AX220&lt;=0,0,ROUND(AX220*(1+'Your debts'!$D$14/1200),2))</f>
        <v/>
      </c>
      <c r="AU221" s="33">
        <f>IF(AT221&lt;=0,0,MIN('Your debts'!$E$14,AT221))</f>
        <v/>
      </c>
      <c r="AV221" s="33">
        <f>AT221-AU221</f>
        <v/>
      </c>
      <c r="AW221" s="33">
        <f>IF('Your debts'!$F$14="",0,MIN(AV221,MAX(0,MAX(0,'Your debts'!$C$19-(G221+L221+Q221+V221+AA221+AF221+AK221+AP221+AU221+AZ221))-(IF(AND('Your debts'!$F$6&lt;&gt;"",'Your debts'!$F$14&lt;&gt;"",'Your debts'!$F$6&lt;'Your debts'!$F$14),H221,0)+IF(AND('Your debts'!$F$7&lt;&gt;"",'Your debts'!$F$14&lt;&gt;"",'Your debts'!$F$7&lt;'Your debts'!$F$14),M221,0)+IF(AND('Your debts'!$F$8&lt;&gt;"",'Your debts'!$F$14&lt;&gt;"",'Your debts'!$F$8&lt;'Your debts'!$F$14),R221,0)+IF(AND('Your debts'!$F$9&lt;&gt;"",'Your debts'!$F$14&lt;&gt;"",'Your debts'!$F$9&lt;'Your debts'!$F$14),W221,0)+IF(AND('Your debts'!$F$10&lt;&gt;"",'Your debts'!$F$14&lt;&gt;"",'Your debts'!$F$10&lt;'Your debts'!$F$14),AB221,0)+IF(AND('Your debts'!$F$11&lt;&gt;"",'Your debts'!$F$14&lt;&gt;"",'Your debts'!$F$11&lt;'Your debts'!$F$14),AG221,0)+IF(AND('Your debts'!$F$12&lt;&gt;"",'Your debts'!$F$14&lt;&gt;"",'Your debts'!$F$12&lt;'Your debts'!$F$14),AL221,0)+IF(AND('Your debts'!$F$13&lt;&gt;"",'Your debts'!$F$14&lt;&gt;"",'Your debts'!$F$13&lt;'Your debts'!$F$14),AQ221,0)+IF(AND('Your debts'!$F$15&lt;&gt;"",'Your debts'!$F$14&lt;&gt;"",'Your debts'!$F$15&lt;'Your debts'!$F$14),BA221,0)))))</f>
        <v/>
      </c>
      <c r="AX221" s="33">
        <f>AV221-AW221</f>
        <v/>
      </c>
      <c r="AY221" s="33">
        <f>IF(BC220&lt;=0,0,ROUND(BC220*(1+'Your debts'!$D$15/1200),2))</f>
        <v/>
      </c>
      <c r="AZ221" s="33">
        <f>IF(AY221&lt;=0,0,MIN('Your debts'!$E$15,AY221))</f>
        <v/>
      </c>
      <c r="BA221" s="33">
        <f>AY221-AZ221</f>
        <v/>
      </c>
      <c r="BB221" s="33">
        <f>IF('Your debts'!$F$15="",0,MIN(BA221,MAX(0,MAX(0,'Your debts'!$C$19-(G221+L221+Q221+V221+AA221+AF221+AK221+AP221+AU221+AZ221))-(IF(AND('Your debts'!$F$6&lt;&gt;"",'Your debts'!$F$15&lt;&gt;"",'Your debts'!$F$6&lt;'Your debts'!$F$15),H221,0)+IF(AND('Your debts'!$F$7&lt;&gt;"",'Your debts'!$F$15&lt;&gt;"",'Your debts'!$F$7&lt;'Your debts'!$F$15),M221,0)+IF(AND('Your debts'!$F$8&lt;&gt;"",'Your debts'!$F$15&lt;&gt;"",'Your debts'!$F$8&lt;'Your debts'!$F$15),R221,0)+IF(AND('Your debts'!$F$9&lt;&gt;"",'Your debts'!$F$15&lt;&gt;"",'Your debts'!$F$9&lt;'Your debts'!$F$15),W221,0)+IF(AND('Your debts'!$F$10&lt;&gt;"",'Your debts'!$F$15&lt;&gt;"",'Your debts'!$F$10&lt;'Your debts'!$F$15),AB221,0)+IF(AND('Your debts'!$F$11&lt;&gt;"",'Your debts'!$F$15&lt;&gt;"",'Your debts'!$F$11&lt;'Your debts'!$F$15),AG221,0)+IF(AND('Your debts'!$F$12&lt;&gt;"",'Your debts'!$F$15&lt;&gt;"",'Your debts'!$F$12&lt;'Your debts'!$F$15),AL221,0)+IF(AND('Your debts'!$F$13&lt;&gt;"",'Your debts'!$F$15&lt;&gt;"",'Your debts'!$F$13&lt;'Your debts'!$F$15),AQ221,0)+IF(AND('Your debts'!$F$14&lt;&gt;"",'Your debts'!$F$15&lt;&gt;"",'Your debts'!$F$14&lt;'Your debts'!$F$15),AV221,0)))))</f>
        <v/>
      </c>
      <c r="BC221" s="33">
        <f>BA221-BB221</f>
        <v/>
      </c>
    </row>
    <row r="222">
      <c r="A222" s="30" t="n">
        <v>207</v>
      </c>
      <c r="B222" s="31">
        <f>EDATE($B$15,207)</f>
        <v/>
      </c>
      <c r="C222" s="32">
        <f>IF(J221&lt;=0,0,F222-J221)+IF(O221&lt;=0,0,K222-O221)+IF(T221&lt;=0,0,P222-T221)+IF(Y221&lt;=0,0,U222-Y221)+IF(AD221&lt;=0,0,Z222-AD221)+IF(AI221&lt;=0,0,AE222-AI221)+IF(AN221&lt;=0,0,AJ222-AN221)+IF(AS221&lt;=0,0,AO222-AS221)+IF(AX221&lt;=0,0,AT222-AX221)+IF(BC221&lt;=0,0,AY222-BC221)</f>
        <v/>
      </c>
      <c r="D222" s="32">
        <f>G222+I222+L222+N222+Q222+S222+V222+X222+AA222+AC222+AF222+AH222+AK222+AM222+AP222+AR222+AU222+AW222+AZ222+BB222</f>
        <v/>
      </c>
      <c r="E222" s="32">
        <f>J222+O222+T222+Y222+AD222+AI222+AN222+AS222+AX222+BC222</f>
        <v/>
      </c>
      <c r="F222" s="33">
        <f>IF(J221&lt;=0,0,ROUND(J221*(1+'Your debts'!$D$6/1200),2))</f>
        <v/>
      </c>
      <c r="G222" s="33">
        <f>IF(F222&lt;=0,0,MIN('Your debts'!$E$6,F222))</f>
        <v/>
      </c>
      <c r="H222" s="33">
        <f>F222-G222</f>
        <v/>
      </c>
      <c r="I222" s="33">
        <f>IF('Your debts'!$F$6="",0,MIN(H222,MAX(0,MAX(0,'Your debts'!$C$19-(G222+L222+Q222+V222+AA222+AF222+AK222+AP222+AU222+AZ222))-(IF(AND('Your debts'!$F$7&lt;&gt;"",'Your debts'!$F$6&lt;&gt;"",'Your debts'!$F$7&lt;'Your debts'!$F$6),M222,0)+IF(AND('Your debts'!$F$8&lt;&gt;"",'Your debts'!$F$6&lt;&gt;"",'Your debts'!$F$8&lt;'Your debts'!$F$6),R222,0)+IF(AND('Your debts'!$F$9&lt;&gt;"",'Your debts'!$F$6&lt;&gt;"",'Your debts'!$F$9&lt;'Your debts'!$F$6),W222,0)+IF(AND('Your debts'!$F$10&lt;&gt;"",'Your debts'!$F$6&lt;&gt;"",'Your debts'!$F$10&lt;'Your debts'!$F$6),AB222,0)+IF(AND('Your debts'!$F$11&lt;&gt;"",'Your debts'!$F$6&lt;&gt;"",'Your debts'!$F$11&lt;'Your debts'!$F$6),AG222,0)+IF(AND('Your debts'!$F$12&lt;&gt;"",'Your debts'!$F$6&lt;&gt;"",'Your debts'!$F$12&lt;'Your debts'!$F$6),AL222,0)+IF(AND('Your debts'!$F$13&lt;&gt;"",'Your debts'!$F$6&lt;&gt;"",'Your debts'!$F$13&lt;'Your debts'!$F$6),AQ222,0)+IF(AND('Your debts'!$F$14&lt;&gt;"",'Your debts'!$F$6&lt;&gt;"",'Your debts'!$F$14&lt;'Your debts'!$F$6),AV222,0)+IF(AND('Your debts'!$F$15&lt;&gt;"",'Your debts'!$F$6&lt;&gt;"",'Your debts'!$F$15&lt;'Your debts'!$F$6),BA222,0)))))</f>
        <v/>
      </c>
      <c r="J222" s="33">
        <f>H222-I222</f>
        <v/>
      </c>
      <c r="K222" s="33">
        <f>IF(O221&lt;=0,0,ROUND(O221*(1+'Your debts'!$D$7/1200),2))</f>
        <v/>
      </c>
      <c r="L222" s="33">
        <f>IF(K222&lt;=0,0,MIN('Your debts'!$E$7,K222))</f>
        <v/>
      </c>
      <c r="M222" s="33">
        <f>K222-L222</f>
        <v/>
      </c>
      <c r="N222" s="33">
        <f>IF('Your debts'!$F$7="",0,MIN(M222,MAX(0,MAX(0,'Your debts'!$C$19-(G222+L222+Q222+V222+AA222+AF222+AK222+AP222+AU222+AZ222))-(IF(AND('Your debts'!$F$6&lt;&gt;"",'Your debts'!$F$7&lt;&gt;"",'Your debts'!$F$6&lt;'Your debts'!$F$7),H222,0)+IF(AND('Your debts'!$F$8&lt;&gt;"",'Your debts'!$F$7&lt;&gt;"",'Your debts'!$F$8&lt;'Your debts'!$F$7),R222,0)+IF(AND('Your debts'!$F$9&lt;&gt;"",'Your debts'!$F$7&lt;&gt;"",'Your debts'!$F$9&lt;'Your debts'!$F$7),W222,0)+IF(AND('Your debts'!$F$10&lt;&gt;"",'Your debts'!$F$7&lt;&gt;"",'Your debts'!$F$10&lt;'Your debts'!$F$7),AB222,0)+IF(AND('Your debts'!$F$11&lt;&gt;"",'Your debts'!$F$7&lt;&gt;"",'Your debts'!$F$11&lt;'Your debts'!$F$7),AG222,0)+IF(AND('Your debts'!$F$12&lt;&gt;"",'Your debts'!$F$7&lt;&gt;"",'Your debts'!$F$12&lt;'Your debts'!$F$7),AL222,0)+IF(AND('Your debts'!$F$13&lt;&gt;"",'Your debts'!$F$7&lt;&gt;"",'Your debts'!$F$13&lt;'Your debts'!$F$7),AQ222,0)+IF(AND('Your debts'!$F$14&lt;&gt;"",'Your debts'!$F$7&lt;&gt;"",'Your debts'!$F$14&lt;'Your debts'!$F$7),AV222,0)+IF(AND('Your debts'!$F$15&lt;&gt;"",'Your debts'!$F$7&lt;&gt;"",'Your debts'!$F$15&lt;'Your debts'!$F$7),BA222,0)))))</f>
        <v/>
      </c>
      <c r="O222" s="33">
        <f>M222-N222</f>
        <v/>
      </c>
      <c r="P222" s="33">
        <f>IF(T221&lt;=0,0,ROUND(T221*(1+'Your debts'!$D$8/1200),2))</f>
        <v/>
      </c>
      <c r="Q222" s="33">
        <f>IF(P222&lt;=0,0,MIN('Your debts'!$E$8,P222))</f>
        <v/>
      </c>
      <c r="R222" s="33">
        <f>P222-Q222</f>
        <v/>
      </c>
      <c r="S222" s="33">
        <f>IF('Your debts'!$F$8="",0,MIN(R222,MAX(0,MAX(0,'Your debts'!$C$19-(G222+L222+Q222+V222+AA222+AF222+AK222+AP222+AU222+AZ222))-(IF(AND('Your debts'!$F$6&lt;&gt;"",'Your debts'!$F$8&lt;&gt;"",'Your debts'!$F$6&lt;'Your debts'!$F$8),H222,0)+IF(AND('Your debts'!$F$7&lt;&gt;"",'Your debts'!$F$8&lt;&gt;"",'Your debts'!$F$7&lt;'Your debts'!$F$8),M222,0)+IF(AND('Your debts'!$F$9&lt;&gt;"",'Your debts'!$F$8&lt;&gt;"",'Your debts'!$F$9&lt;'Your debts'!$F$8),W222,0)+IF(AND('Your debts'!$F$10&lt;&gt;"",'Your debts'!$F$8&lt;&gt;"",'Your debts'!$F$10&lt;'Your debts'!$F$8),AB222,0)+IF(AND('Your debts'!$F$11&lt;&gt;"",'Your debts'!$F$8&lt;&gt;"",'Your debts'!$F$11&lt;'Your debts'!$F$8),AG222,0)+IF(AND('Your debts'!$F$12&lt;&gt;"",'Your debts'!$F$8&lt;&gt;"",'Your debts'!$F$12&lt;'Your debts'!$F$8),AL222,0)+IF(AND('Your debts'!$F$13&lt;&gt;"",'Your debts'!$F$8&lt;&gt;"",'Your debts'!$F$13&lt;'Your debts'!$F$8),AQ222,0)+IF(AND('Your debts'!$F$14&lt;&gt;"",'Your debts'!$F$8&lt;&gt;"",'Your debts'!$F$14&lt;'Your debts'!$F$8),AV222,0)+IF(AND('Your debts'!$F$15&lt;&gt;"",'Your debts'!$F$8&lt;&gt;"",'Your debts'!$F$15&lt;'Your debts'!$F$8),BA222,0)))))</f>
        <v/>
      </c>
      <c r="T222" s="33">
        <f>R222-S222</f>
        <v/>
      </c>
      <c r="U222" s="33">
        <f>IF(Y221&lt;=0,0,ROUND(Y221*(1+'Your debts'!$D$9/1200),2))</f>
        <v/>
      </c>
      <c r="V222" s="33">
        <f>IF(U222&lt;=0,0,MIN('Your debts'!$E$9,U222))</f>
        <v/>
      </c>
      <c r="W222" s="33">
        <f>U222-V222</f>
        <v/>
      </c>
      <c r="X222" s="33">
        <f>IF('Your debts'!$F$9="",0,MIN(W222,MAX(0,MAX(0,'Your debts'!$C$19-(G222+L222+Q222+V222+AA222+AF222+AK222+AP222+AU222+AZ222))-(IF(AND('Your debts'!$F$6&lt;&gt;"",'Your debts'!$F$9&lt;&gt;"",'Your debts'!$F$6&lt;'Your debts'!$F$9),H222,0)+IF(AND('Your debts'!$F$7&lt;&gt;"",'Your debts'!$F$9&lt;&gt;"",'Your debts'!$F$7&lt;'Your debts'!$F$9),M222,0)+IF(AND('Your debts'!$F$8&lt;&gt;"",'Your debts'!$F$9&lt;&gt;"",'Your debts'!$F$8&lt;'Your debts'!$F$9),R222,0)+IF(AND('Your debts'!$F$10&lt;&gt;"",'Your debts'!$F$9&lt;&gt;"",'Your debts'!$F$10&lt;'Your debts'!$F$9),AB222,0)+IF(AND('Your debts'!$F$11&lt;&gt;"",'Your debts'!$F$9&lt;&gt;"",'Your debts'!$F$11&lt;'Your debts'!$F$9),AG222,0)+IF(AND('Your debts'!$F$12&lt;&gt;"",'Your debts'!$F$9&lt;&gt;"",'Your debts'!$F$12&lt;'Your debts'!$F$9),AL222,0)+IF(AND('Your debts'!$F$13&lt;&gt;"",'Your debts'!$F$9&lt;&gt;"",'Your debts'!$F$13&lt;'Your debts'!$F$9),AQ222,0)+IF(AND('Your debts'!$F$14&lt;&gt;"",'Your debts'!$F$9&lt;&gt;"",'Your debts'!$F$14&lt;'Your debts'!$F$9),AV222,0)+IF(AND('Your debts'!$F$15&lt;&gt;"",'Your debts'!$F$9&lt;&gt;"",'Your debts'!$F$15&lt;'Your debts'!$F$9),BA222,0)))))</f>
        <v/>
      </c>
      <c r="Y222" s="33">
        <f>W222-X222</f>
        <v/>
      </c>
      <c r="Z222" s="33">
        <f>IF(AD221&lt;=0,0,ROUND(AD221*(1+'Your debts'!$D$10/1200),2))</f>
        <v/>
      </c>
      <c r="AA222" s="33">
        <f>IF(Z222&lt;=0,0,MIN('Your debts'!$E$10,Z222))</f>
        <v/>
      </c>
      <c r="AB222" s="33">
        <f>Z222-AA222</f>
        <v/>
      </c>
      <c r="AC222" s="33">
        <f>IF('Your debts'!$F$10="",0,MIN(AB222,MAX(0,MAX(0,'Your debts'!$C$19-(G222+L222+Q222+V222+AA222+AF222+AK222+AP222+AU222+AZ222))-(IF(AND('Your debts'!$F$6&lt;&gt;"",'Your debts'!$F$10&lt;&gt;"",'Your debts'!$F$6&lt;'Your debts'!$F$10),H222,0)+IF(AND('Your debts'!$F$7&lt;&gt;"",'Your debts'!$F$10&lt;&gt;"",'Your debts'!$F$7&lt;'Your debts'!$F$10),M222,0)+IF(AND('Your debts'!$F$8&lt;&gt;"",'Your debts'!$F$10&lt;&gt;"",'Your debts'!$F$8&lt;'Your debts'!$F$10),R222,0)+IF(AND('Your debts'!$F$9&lt;&gt;"",'Your debts'!$F$10&lt;&gt;"",'Your debts'!$F$9&lt;'Your debts'!$F$10),W222,0)+IF(AND('Your debts'!$F$11&lt;&gt;"",'Your debts'!$F$10&lt;&gt;"",'Your debts'!$F$11&lt;'Your debts'!$F$10),AG222,0)+IF(AND('Your debts'!$F$12&lt;&gt;"",'Your debts'!$F$10&lt;&gt;"",'Your debts'!$F$12&lt;'Your debts'!$F$10),AL222,0)+IF(AND('Your debts'!$F$13&lt;&gt;"",'Your debts'!$F$10&lt;&gt;"",'Your debts'!$F$13&lt;'Your debts'!$F$10),AQ222,0)+IF(AND('Your debts'!$F$14&lt;&gt;"",'Your debts'!$F$10&lt;&gt;"",'Your debts'!$F$14&lt;'Your debts'!$F$10),AV222,0)+IF(AND('Your debts'!$F$15&lt;&gt;"",'Your debts'!$F$10&lt;&gt;"",'Your debts'!$F$15&lt;'Your debts'!$F$10),BA222,0)))))</f>
        <v/>
      </c>
      <c r="AD222" s="33">
        <f>AB222-AC222</f>
        <v/>
      </c>
      <c r="AE222" s="33">
        <f>IF(AI221&lt;=0,0,ROUND(AI221*(1+'Your debts'!$D$11/1200),2))</f>
        <v/>
      </c>
      <c r="AF222" s="33">
        <f>IF(AE222&lt;=0,0,MIN('Your debts'!$E$11,AE222))</f>
        <v/>
      </c>
      <c r="AG222" s="33">
        <f>AE222-AF222</f>
        <v/>
      </c>
      <c r="AH222" s="33">
        <f>IF('Your debts'!$F$11="",0,MIN(AG222,MAX(0,MAX(0,'Your debts'!$C$19-(G222+L222+Q222+V222+AA222+AF222+AK222+AP222+AU222+AZ222))-(IF(AND('Your debts'!$F$6&lt;&gt;"",'Your debts'!$F$11&lt;&gt;"",'Your debts'!$F$6&lt;'Your debts'!$F$11),H222,0)+IF(AND('Your debts'!$F$7&lt;&gt;"",'Your debts'!$F$11&lt;&gt;"",'Your debts'!$F$7&lt;'Your debts'!$F$11),M222,0)+IF(AND('Your debts'!$F$8&lt;&gt;"",'Your debts'!$F$11&lt;&gt;"",'Your debts'!$F$8&lt;'Your debts'!$F$11),R222,0)+IF(AND('Your debts'!$F$9&lt;&gt;"",'Your debts'!$F$11&lt;&gt;"",'Your debts'!$F$9&lt;'Your debts'!$F$11),W222,0)+IF(AND('Your debts'!$F$10&lt;&gt;"",'Your debts'!$F$11&lt;&gt;"",'Your debts'!$F$10&lt;'Your debts'!$F$11),AB222,0)+IF(AND('Your debts'!$F$12&lt;&gt;"",'Your debts'!$F$11&lt;&gt;"",'Your debts'!$F$12&lt;'Your debts'!$F$11),AL222,0)+IF(AND('Your debts'!$F$13&lt;&gt;"",'Your debts'!$F$11&lt;&gt;"",'Your debts'!$F$13&lt;'Your debts'!$F$11),AQ222,0)+IF(AND('Your debts'!$F$14&lt;&gt;"",'Your debts'!$F$11&lt;&gt;"",'Your debts'!$F$14&lt;'Your debts'!$F$11),AV222,0)+IF(AND('Your debts'!$F$15&lt;&gt;"",'Your debts'!$F$11&lt;&gt;"",'Your debts'!$F$15&lt;'Your debts'!$F$11),BA222,0)))))</f>
        <v/>
      </c>
      <c r="AI222" s="33">
        <f>AG222-AH222</f>
        <v/>
      </c>
      <c r="AJ222" s="33">
        <f>IF(AN221&lt;=0,0,ROUND(AN221*(1+'Your debts'!$D$12/1200),2))</f>
        <v/>
      </c>
      <c r="AK222" s="33">
        <f>IF(AJ222&lt;=0,0,MIN('Your debts'!$E$12,AJ222))</f>
        <v/>
      </c>
      <c r="AL222" s="33">
        <f>AJ222-AK222</f>
        <v/>
      </c>
      <c r="AM222" s="33">
        <f>IF('Your debts'!$F$12="",0,MIN(AL222,MAX(0,MAX(0,'Your debts'!$C$19-(G222+L222+Q222+V222+AA222+AF222+AK222+AP222+AU222+AZ222))-(IF(AND('Your debts'!$F$6&lt;&gt;"",'Your debts'!$F$12&lt;&gt;"",'Your debts'!$F$6&lt;'Your debts'!$F$12),H222,0)+IF(AND('Your debts'!$F$7&lt;&gt;"",'Your debts'!$F$12&lt;&gt;"",'Your debts'!$F$7&lt;'Your debts'!$F$12),M222,0)+IF(AND('Your debts'!$F$8&lt;&gt;"",'Your debts'!$F$12&lt;&gt;"",'Your debts'!$F$8&lt;'Your debts'!$F$12),R222,0)+IF(AND('Your debts'!$F$9&lt;&gt;"",'Your debts'!$F$12&lt;&gt;"",'Your debts'!$F$9&lt;'Your debts'!$F$12),W222,0)+IF(AND('Your debts'!$F$10&lt;&gt;"",'Your debts'!$F$12&lt;&gt;"",'Your debts'!$F$10&lt;'Your debts'!$F$12),AB222,0)+IF(AND('Your debts'!$F$11&lt;&gt;"",'Your debts'!$F$12&lt;&gt;"",'Your debts'!$F$11&lt;'Your debts'!$F$12),AG222,0)+IF(AND('Your debts'!$F$13&lt;&gt;"",'Your debts'!$F$12&lt;&gt;"",'Your debts'!$F$13&lt;'Your debts'!$F$12),AQ222,0)+IF(AND('Your debts'!$F$14&lt;&gt;"",'Your debts'!$F$12&lt;&gt;"",'Your debts'!$F$14&lt;'Your debts'!$F$12),AV222,0)+IF(AND('Your debts'!$F$15&lt;&gt;"",'Your debts'!$F$12&lt;&gt;"",'Your debts'!$F$15&lt;'Your debts'!$F$12),BA222,0)))))</f>
        <v/>
      </c>
      <c r="AN222" s="33">
        <f>AL222-AM222</f>
        <v/>
      </c>
      <c r="AO222" s="33">
        <f>IF(AS221&lt;=0,0,ROUND(AS221*(1+'Your debts'!$D$13/1200),2))</f>
        <v/>
      </c>
      <c r="AP222" s="33">
        <f>IF(AO222&lt;=0,0,MIN('Your debts'!$E$13,AO222))</f>
        <v/>
      </c>
      <c r="AQ222" s="33">
        <f>AO222-AP222</f>
        <v/>
      </c>
      <c r="AR222" s="33">
        <f>IF('Your debts'!$F$13="",0,MIN(AQ222,MAX(0,MAX(0,'Your debts'!$C$19-(G222+L222+Q222+V222+AA222+AF222+AK222+AP222+AU222+AZ222))-(IF(AND('Your debts'!$F$6&lt;&gt;"",'Your debts'!$F$13&lt;&gt;"",'Your debts'!$F$6&lt;'Your debts'!$F$13),H222,0)+IF(AND('Your debts'!$F$7&lt;&gt;"",'Your debts'!$F$13&lt;&gt;"",'Your debts'!$F$7&lt;'Your debts'!$F$13),M222,0)+IF(AND('Your debts'!$F$8&lt;&gt;"",'Your debts'!$F$13&lt;&gt;"",'Your debts'!$F$8&lt;'Your debts'!$F$13),R222,0)+IF(AND('Your debts'!$F$9&lt;&gt;"",'Your debts'!$F$13&lt;&gt;"",'Your debts'!$F$9&lt;'Your debts'!$F$13),W222,0)+IF(AND('Your debts'!$F$10&lt;&gt;"",'Your debts'!$F$13&lt;&gt;"",'Your debts'!$F$10&lt;'Your debts'!$F$13),AB222,0)+IF(AND('Your debts'!$F$11&lt;&gt;"",'Your debts'!$F$13&lt;&gt;"",'Your debts'!$F$11&lt;'Your debts'!$F$13),AG222,0)+IF(AND('Your debts'!$F$12&lt;&gt;"",'Your debts'!$F$13&lt;&gt;"",'Your debts'!$F$12&lt;'Your debts'!$F$13),AL222,0)+IF(AND('Your debts'!$F$14&lt;&gt;"",'Your debts'!$F$13&lt;&gt;"",'Your debts'!$F$14&lt;'Your debts'!$F$13),AV222,0)+IF(AND('Your debts'!$F$15&lt;&gt;"",'Your debts'!$F$13&lt;&gt;"",'Your debts'!$F$15&lt;'Your debts'!$F$13),BA222,0)))))</f>
        <v/>
      </c>
      <c r="AS222" s="33">
        <f>AQ222-AR222</f>
        <v/>
      </c>
      <c r="AT222" s="33">
        <f>IF(AX221&lt;=0,0,ROUND(AX221*(1+'Your debts'!$D$14/1200),2))</f>
        <v/>
      </c>
      <c r="AU222" s="33">
        <f>IF(AT222&lt;=0,0,MIN('Your debts'!$E$14,AT222))</f>
        <v/>
      </c>
      <c r="AV222" s="33">
        <f>AT222-AU222</f>
        <v/>
      </c>
      <c r="AW222" s="33">
        <f>IF('Your debts'!$F$14="",0,MIN(AV222,MAX(0,MAX(0,'Your debts'!$C$19-(G222+L222+Q222+V222+AA222+AF222+AK222+AP222+AU222+AZ222))-(IF(AND('Your debts'!$F$6&lt;&gt;"",'Your debts'!$F$14&lt;&gt;"",'Your debts'!$F$6&lt;'Your debts'!$F$14),H222,0)+IF(AND('Your debts'!$F$7&lt;&gt;"",'Your debts'!$F$14&lt;&gt;"",'Your debts'!$F$7&lt;'Your debts'!$F$14),M222,0)+IF(AND('Your debts'!$F$8&lt;&gt;"",'Your debts'!$F$14&lt;&gt;"",'Your debts'!$F$8&lt;'Your debts'!$F$14),R222,0)+IF(AND('Your debts'!$F$9&lt;&gt;"",'Your debts'!$F$14&lt;&gt;"",'Your debts'!$F$9&lt;'Your debts'!$F$14),W222,0)+IF(AND('Your debts'!$F$10&lt;&gt;"",'Your debts'!$F$14&lt;&gt;"",'Your debts'!$F$10&lt;'Your debts'!$F$14),AB222,0)+IF(AND('Your debts'!$F$11&lt;&gt;"",'Your debts'!$F$14&lt;&gt;"",'Your debts'!$F$11&lt;'Your debts'!$F$14),AG222,0)+IF(AND('Your debts'!$F$12&lt;&gt;"",'Your debts'!$F$14&lt;&gt;"",'Your debts'!$F$12&lt;'Your debts'!$F$14),AL222,0)+IF(AND('Your debts'!$F$13&lt;&gt;"",'Your debts'!$F$14&lt;&gt;"",'Your debts'!$F$13&lt;'Your debts'!$F$14),AQ222,0)+IF(AND('Your debts'!$F$15&lt;&gt;"",'Your debts'!$F$14&lt;&gt;"",'Your debts'!$F$15&lt;'Your debts'!$F$14),BA222,0)))))</f>
        <v/>
      </c>
      <c r="AX222" s="33">
        <f>AV222-AW222</f>
        <v/>
      </c>
      <c r="AY222" s="33">
        <f>IF(BC221&lt;=0,0,ROUND(BC221*(1+'Your debts'!$D$15/1200),2))</f>
        <v/>
      </c>
      <c r="AZ222" s="33">
        <f>IF(AY222&lt;=0,0,MIN('Your debts'!$E$15,AY222))</f>
        <v/>
      </c>
      <c r="BA222" s="33">
        <f>AY222-AZ222</f>
        <v/>
      </c>
      <c r="BB222" s="33">
        <f>IF('Your debts'!$F$15="",0,MIN(BA222,MAX(0,MAX(0,'Your debts'!$C$19-(G222+L222+Q222+V222+AA222+AF222+AK222+AP222+AU222+AZ222))-(IF(AND('Your debts'!$F$6&lt;&gt;"",'Your debts'!$F$15&lt;&gt;"",'Your debts'!$F$6&lt;'Your debts'!$F$15),H222,0)+IF(AND('Your debts'!$F$7&lt;&gt;"",'Your debts'!$F$15&lt;&gt;"",'Your debts'!$F$7&lt;'Your debts'!$F$15),M222,0)+IF(AND('Your debts'!$F$8&lt;&gt;"",'Your debts'!$F$15&lt;&gt;"",'Your debts'!$F$8&lt;'Your debts'!$F$15),R222,0)+IF(AND('Your debts'!$F$9&lt;&gt;"",'Your debts'!$F$15&lt;&gt;"",'Your debts'!$F$9&lt;'Your debts'!$F$15),W222,0)+IF(AND('Your debts'!$F$10&lt;&gt;"",'Your debts'!$F$15&lt;&gt;"",'Your debts'!$F$10&lt;'Your debts'!$F$15),AB222,0)+IF(AND('Your debts'!$F$11&lt;&gt;"",'Your debts'!$F$15&lt;&gt;"",'Your debts'!$F$11&lt;'Your debts'!$F$15),AG222,0)+IF(AND('Your debts'!$F$12&lt;&gt;"",'Your debts'!$F$15&lt;&gt;"",'Your debts'!$F$12&lt;'Your debts'!$F$15),AL222,0)+IF(AND('Your debts'!$F$13&lt;&gt;"",'Your debts'!$F$15&lt;&gt;"",'Your debts'!$F$13&lt;'Your debts'!$F$15),AQ222,0)+IF(AND('Your debts'!$F$14&lt;&gt;"",'Your debts'!$F$15&lt;&gt;"",'Your debts'!$F$14&lt;'Your debts'!$F$15),AV222,0)))))</f>
        <v/>
      </c>
      <c r="BC222" s="33">
        <f>BA222-BB222</f>
        <v/>
      </c>
    </row>
    <row r="223">
      <c r="A223" s="30" t="n">
        <v>208</v>
      </c>
      <c r="B223" s="31">
        <f>EDATE($B$15,208)</f>
        <v/>
      </c>
      <c r="C223" s="32">
        <f>IF(J222&lt;=0,0,F223-J222)+IF(O222&lt;=0,0,K223-O222)+IF(T222&lt;=0,0,P223-T222)+IF(Y222&lt;=0,0,U223-Y222)+IF(AD222&lt;=0,0,Z223-AD222)+IF(AI222&lt;=0,0,AE223-AI222)+IF(AN222&lt;=0,0,AJ223-AN222)+IF(AS222&lt;=0,0,AO223-AS222)+IF(AX222&lt;=0,0,AT223-AX222)+IF(BC222&lt;=0,0,AY223-BC222)</f>
        <v/>
      </c>
      <c r="D223" s="32">
        <f>G223+I223+L223+N223+Q223+S223+V223+X223+AA223+AC223+AF223+AH223+AK223+AM223+AP223+AR223+AU223+AW223+AZ223+BB223</f>
        <v/>
      </c>
      <c r="E223" s="32">
        <f>J223+O223+T223+Y223+AD223+AI223+AN223+AS223+AX223+BC223</f>
        <v/>
      </c>
      <c r="F223" s="33">
        <f>IF(J222&lt;=0,0,ROUND(J222*(1+'Your debts'!$D$6/1200),2))</f>
        <v/>
      </c>
      <c r="G223" s="33">
        <f>IF(F223&lt;=0,0,MIN('Your debts'!$E$6,F223))</f>
        <v/>
      </c>
      <c r="H223" s="33">
        <f>F223-G223</f>
        <v/>
      </c>
      <c r="I223" s="33">
        <f>IF('Your debts'!$F$6="",0,MIN(H223,MAX(0,MAX(0,'Your debts'!$C$19-(G223+L223+Q223+V223+AA223+AF223+AK223+AP223+AU223+AZ223))-(IF(AND('Your debts'!$F$7&lt;&gt;"",'Your debts'!$F$6&lt;&gt;"",'Your debts'!$F$7&lt;'Your debts'!$F$6),M223,0)+IF(AND('Your debts'!$F$8&lt;&gt;"",'Your debts'!$F$6&lt;&gt;"",'Your debts'!$F$8&lt;'Your debts'!$F$6),R223,0)+IF(AND('Your debts'!$F$9&lt;&gt;"",'Your debts'!$F$6&lt;&gt;"",'Your debts'!$F$9&lt;'Your debts'!$F$6),W223,0)+IF(AND('Your debts'!$F$10&lt;&gt;"",'Your debts'!$F$6&lt;&gt;"",'Your debts'!$F$10&lt;'Your debts'!$F$6),AB223,0)+IF(AND('Your debts'!$F$11&lt;&gt;"",'Your debts'!$F$6&lt;&gt;"",'Your debts'!$F$11&lt;'Your debts'!$F$6),AG223,0)+IF(AND('Your debts'!$F$12&lt;&gt;"",'Your debts'!$F$6&lt;&gt;"",'Your debts'!$F$12&lt;'Your debts'!$F$6),AL223,0)+IF(AND('Your debts'!$F$13&lt;&gt;"",'Your debts'!$F$6&lt;&gt;"",'Your debts'!$F$13&lt;'Your debts'!$F$6),AQ223,0)+IF(AND('Your debts'!$F$14&lt;&gt;"",'Your debts'!$F$6&lt;&gt;"",'Your debts'!$F$14&lt;'Your debts'!$F$6),AV223,0)+IF(AND('Your debts'!$F$15&lt;&gt;"",'Your debts'!$F$6&lt;&gt;"",'Your debts'!$F$15&lt;'Your debts'!$F$6),BA223,0)))))</f>
        <v/>
      </c>
      <c r="J223" s="33">
        <f>H223-I223</f>
        <v/>
      </c>
      <c r="K223" s="33">
        <f>IF(O222&lt;=0,0,ROUND(O222*(1+'Your debts'!$D$7/1200),2))</f>
        <v/>
      </c>
      <c r="L223" s="33">
        <f>IF(K223&lt;=0,0,MIN('Your debts'!$E$7,K223))</f>
        <v/>
      </c>
      <c r="M223" s="33">
        <f>K223-L223</f>
        <v/>
      </c>
      <c r="N223" s="33">
        <f>IF('Your debts'!$F$7="",0,MIN(M223,MAX(0,MAX(0,'Your debts'!$C$19-(G223+L223+Q223+V223+AA223+AF223+AK223+AP223+AU223+AZ223))-(IF(AND('Your debts'!$F$6&lt;&gt;"",'Your debts'!$F$7&lt;&gt;"",'Your debts'!$F$6&lt;'Your debts'!$F$7),H223,0)+IF(AND('Your debts'!$F$8&lt;&gt;"",'Your debts'!$F$7&lt;&gt;"",'Your debts'!$F$8&lt;'Your debts'!$F$7),R223,0)+IF(AND('Your debts'!$F$9&lt;&gt;"",'Your debts'!$F$7&lt;&gt;"",'Your debts'!$F$9&lt;'Your debts'!$F$7),W223,0)+IF(AND('Your debts'!$F$10&lt;&gt;"",'Your debts'!$F$7&lt;&gt;"",'Your debts'!$F$10&lt;'Your debts'!$F$7),AB223,0)+IF(AND('Your debts'!$F$11&lt;&gt;"",'Your debts'!$F$7&lt;&gt;"",'Your debts'!$F$11&lt;'Your debts'!$F$7),AG223,0)+IF(AND('Your debts'!$F$12&lt;&gt;"",'Your debts'!$F$7&lt;&gt;"",'Your debts'!$F$12&lt;'Your debts'!$F$7),AL223,0)+IF(AND('Your debts'!$F$13&lt;&gt;"",'Your debts'!$F$7&lt;&gt;"",'Your debts'!$F$13&lt;'Your debts'!$F$7),AQ223,0)+IF(AND('Your debts'!$F$14&lt;&gt;"",'Your debts'!$F$7&lt;&gt;"",'Your debts'!$F$14&lt;'Your debts'!$F$7),AV223,0)+IF(AND('Your debts'!$F$15&lt;&gt;"",'Your debts'!$F$7&lt;&gt;"",'Your debts'!$F$15&lt;'Your debts'!$F$7),BA223,0)))))</f>
        <v/>
      </c>
      <c r="O223" s="33">
        <f>M223-N223</f>
        <v/>
      </c>
      <c r="P223" s="33">
        <f>IF(T222&lt;=0,0,ROUND(T222*(1+'Your debts'!$D$8/1200),2))</f>
        <v/>
      </c>
      <c r="Q223" s="33">
        <f>IF(P223&lt;=0,0,MIN('Your debts'!$E$8,P223))</f>
        <v/>
      </c>
      <c r="R223" s="33">
        <f>P223-Q223</f>
        <v/>
      </c>
      <c r="S223" s="33">
        <f>IF('Your debts'!$F$8="",0,MIN(R223,MAX(0,MAX(0,'Your debts'!$C$19-(G223+L223+Q223+V223+AA223+AF223+AK223+AP223+AU223+AZ223))-(IF(AND('Your debts'!$F$6&lt;&gt;"",'Your debts'!$F$8&lt;&gt;"",'Your debts'!$F$6&lt;'Your debts'!$F$8),H223,0)+IF(AND('Your debts'!$F$7&lt;&gt;"",'Your debts'!$F$8&lt;&gt;"",'Your debts'!$F$7&lt;'Your debts'!$F$8),M223,0)+IF(AND('Your debts'!$F$9&lt;&gt;"",'Your debts'!$F$8&lt;&gt;"",'Your debts'!$F$9&lt;'Your debts'!$F$8),W223,0)+IF(AND('Your debts'!$F$10&lt;&gt;"",'Your debts'!$F$8&lt;&gt;"",'Your debts'!$F$10&lt;'Your debts'!$F$8),AB223,0)+IF(AND('Your debts'!$F$11&lt;&gt;"",'Your debts'!$F$8&lt;&gt;"",'Your debts'!$F$11&lt;'Your debts'!$F$8),AG223,0)+IF(AND('Your debts'!$F$12&lt;&gt;"",'Your debts'!$F$8&lt;&gt;"",'Your debts'!$F$12&lt;'Your debts'!$F$8),AL223,0)+IF(AND('Your debts'!$F$13&lt;&gt;"",'Your debts'!$F$8&lt;&gt;"",'Your debts'!$F$13&lt;'Your debts'!$F$8),AQ223,0)+IF(AND('Your debts'!$F$14&lt;&gt;"",'Your debts'!$F$8&lt;&gt;"",'Your debts'!$F$14&lt;'Your debts'!$F$8),AV223,0)+IF(AND('Your debts'!$F$15&lt;&gt;"",'Your debts'!$F$8&lt;&gt;"",'Your debts'!$F$15&lt;'Your debts'!$F$8),BA223,0)))))</f>
        <v/>
      </c>
      <c r="T223" s="33">
        <f>R223-S223</f>
        <v/>
      </c>
      <c r="U223" s="33">
        <f>IF(Y222&lt;=0,0,ROUND(Y222*(1+'Your debts'!$D$9/1200),2))</f>
        <v/>
      </c>
      <c r="V223" s="33">
        <f>IF(U223&lt;=0,0,MIN('Your debts'!$E$9,U223))</f>
        <v/>
      </c>
      <c r="W223" s="33">
        <f>U223-V223</f>
        <v/>
      </c>
      <c r="X223" s="33">
        <f>IF('Your debts'!$F$9="",0,MIN(W223,MAX(0,MAX(0,'Your debts'!$C$19-(G223+L223+Q223+V223+AA223+AF223+AK223+AP223+AU223+AZ223))-(IF(AND('Your debts'!$F$6&lt;&gt;"",'Your debts'!$F$9&lt;&gt;"",'Your debts'!$F$6&lt;'Your debts'!$F$9),H223,0)+IF(AND('Your debts'!$F$7&lt;&gt;"",'Your debts'!$F$9&lt;&gt;"",'Your debts'!$F$7&lt;'Your debts'!$F$9),M223,0)+IF(AND('Your debts'!$F$8&lt;&gt;"",'Your debts'!$F$9&lt;&gt;"",'Your debts'!$F$8&lt;'Your debts'!$F$9),R223,0)+IF(AND('Your debts'!$F$10&lt;&gt;"",'Your debts'!$F$9&lt;&gt;"",'Your debts'!$F$10&lt;'Your debts'!$F$9),AB223,0)+IF(AND('Your debts'!$F$11&lt;&gt;"",'Your debts'!$F$9&lt;&gt;"",'Your debts'!$F$11&lt;'Your debts'!$F$9),AG223,0)+IF(AND('Your debts'!$F$12&lt;&gt;"",'Your debts'!$F$9&lt;&gt;"",'Your debts'!$F$12&lt;'Your debts'!$F$9),AL223,0)+IF(AND('Your debts'!$F$13&lt;&gt;"",'Your debts'!$F$9&lt;&gt;"",'Your debts'!$F$13&lt;'Your debts'!$F$9),AQ223,0)+IF(AND('Your debts'!$F$14&lt;&gt;"",'Your debts'!$F$9&lt;&gt;"",'Your debts'!$F$14&lt;'Your debts'!$F$9),AV223,0)+IF(AND('Your debts'!$F$15&lt;&gt;"",'Your debts'!$F$9&lt;&gt;"",'Your debts'!$F$15&lt;'Your debts'!$F$9),BA223,0)))))</f>
        <v/>
      </c>
      <c r="Y223" s="33">
        <f>W223-X223</f>
        <v/>
      </c>
      <c r="Z223" s="33">
        <f>IF(AD222&lt;=0,0,ROUND(AD222*(1+'Your debts'!$D$10/1200),2))</f>
        <v/>
      </c>
      <c r="AA223" s="33">
        <f>IF(Z223&lt;=0,0,MIN('Your debts'!$E$10,Z223))</f>
        <v/>
      </c>
      <c r="AB223" s="33">
        <f>Z223-AA223</f>
        <v/>
      </c>
      <c r="AC223" s="33">
        <f>IF('Your debts'!$F$10="",0,MIN(AB223,MAX(0,MAX(0,'Your debts'!$C$19-(G223+L223+Q223+V223+AA223+AF223+AK223+AP223+AU223+AZ223))-(IF(AND('Your debts'!$F$6&lt;&gt;"",'Your debts'!$F$10&lt;&gt;"",'Your debts'!$F$6&lt;'Your debts'!$F$10),H223,0)+IF(AND('Your debts'!$F$7&lt;&gt;"",'Your debts'!$F$10&lt;&gt;"",'Your debts'!$F$7&lt;'Your debts'!$F$10),M223,0)+IF(AND('Your debts'!$F$8&lt;&gt;"",'Your debts'!$F$10&lt;&gt;"",'Your debts'!$F$8&lt;'Your debts'!$F$10),R223,0)+IF(AND('Your debts'!$F$9&lt;&gt;"",'Your debts'!$F$10&lt;&gt;"",'Your debts'!$F$9&lt;'Your debts'!$F$10),W223,0)+IF(AND('Your debts'!$F$11&lt;&gt;"",'Your debts'!$F$10&lt;&gt;"",'Your debts'!$F$11&lt;'Your debts'!$F$10),AG223,0)+IF(AND('Your debts'!$F$12&lt;&gt;"",'Your debts'!$F$10&lt;&gt;"",'Your debts'!$F$12&lt;'Your debts'!$F$10),AL223,0)+IF(AND('Your debts'!$F$13&lt;&gt;"",'Your debts'!$F$10&lt;&gt;"",'Your debts'!$F$13&lt;'Your debts'!$F$10),AQ223,0)+IF(AND('Your debts'!$F$14&lt;&gt;"",'Your debts'!$F$10&lt;&gt;"",'Your debts'!$F$14&lt;'Your debts'!$F$10),AV223,0)+IF(AND('Your debts'!$F$15&lt;&gt;"",'Your debts'!$F$10&lt;&gt;"",'Your debts'!$F$15&lt;'Your debts'!$F$10),BA223,0)))))</f>
        <v/>
      </c>
      <c r="AD223" s="33">
        <f>AB223-AC223</f>
        <v/>
      </c>
      <c r="AE223" s="33">
        <f>IF(AI222&lt;=0,0,ROUND(AI222*(1+'Your debts'!$D$11/1200),2))</f>
        <v/>
      </c>
      <c r="AF223" s="33">
        <f>IF(AE223&lt;=0,0,MIN('Your debts'!$E$11,AE223))</f>
        <v/>
      </c>
      <c r="AG223" s="33">
        <f>AE223-AF223</f>
        <v/>
      </c>
      <c r="AH223" s="33">
        <f>IF('Your debts'!$F$11="",0,MIN(AG223,MAX(0,MAX(0,'Your debts'!$C$19-(G223+L223+Q223+V223+AA223+AF223+AK223+AP223+AU223+AZ223))-(IF(AND('Your debts'!$F$6&lt;&gt;"",'Your debts'!$F$11&lt;&gt;"",'Your debts'!$F$6&lt;'Your debts'!$F$11),H223,0)+IF(AND('Your debts'!$F$7&lt;&gt;"",'Your debts'!$F$11&lt;&gt;"",'Your debts'!$F$7&lt;'Your debts'!$F$11),M223,0)+IF(AND('Your debts'!$F$8&lt;&gt;"",'Your debts'!$F$11&lt;&gt;"",'Your debts'!$F$8&lt;'Your debts'!$F$11),R223,0)+IF(AND('Your debts'!$F$9&lt;&gt;"",'Your debts'!$F$11&lt;&gt;"",'Your debts'!$F$9&lt;'Your debts'!$F$11),W223,0)+IF(AND('Your debts'!$F$10&lt;&gt;"",'Your debts'!$F$11&lt;&gt;"",'Your debts'!$F$10&lt;'Your debts'!$F$11),AB223,0)+IF(AND('Your debts'!$F$12&lt;&gt;"",'Your debts'!$F$11&lt;&gt;"",'Your debts'!$F$12&lt;'Your debts'!$F$11),AL223,0)+IF(AND('Your debts'!$F$13&lt;&gt;"",'Your debts'!$F$11&lt;&gt;"",'Your debts'!$F$13&lt;'Your debts'!$F$11),AQ223,0)+IF(AND('Your debts'!$F$14&lt;&gt;"",'Your debts'!$F$11&lt;&gt;"",'Your debts'!$F$14&lt;'Your debts'!$F$11),AV223,0)+IF(AND('Your debts'!$F$15&lt;&gt;"",'Your debts'!$F$11&lt;&gt;"",'Your debts'!$F$15&lt;'Your debts'!$F$11),BA223,0)))))</f>
        <v/>
      </c>
      <c r="AI223" s="33">
        <f>AG223-AH223</f>
        <v/>
      </c>
      <c r="AJ223" s="33">
        <f>IF(AN222&lt;=0,0,ROUND(AN222*(1+'Your debts'!$D$12/1200),2))</f>
        <v/>
      </c>
      <c r="AK223" s="33">
        <f>IF(AJ223&lt;=0,0,MIN('Your debts'!$E$12,AJ223))</f>
        <v/>
      </c>
      <c r="AL223" s="33">
        <f>AJ223-AK223</f>
        <v/>
      </c>
      <c r="AM223" s="33">
        <f>IF('Your debts'!$F$12="",0,MIN(AL223,MAX(0,MAX(0,'Your debts'!$C$19-(G223+L223+Q223+V223+AA223+AF223+AK223+AP223+AU223+AZ223))-(IF(AND('Your debts'!$F$6&lt;&gt;"",'Your debts'!$F$12&lt;&gt;"",'Your debts'!$F$6&lt;'Your debts'!$F$12),H223,0)+IF(AND('Your debts'!$F$7&lt;&gt;"",'Your debts'!$F$12&lt;&gt;"",'Your debts'!$F$7&lt;'Your debts'!$F$12),M223,0)+IF(AND('Your debts'!$F$8&lt;&gt;"",'Your debts'!$F$12&lt;&gt;"",'Your debts'!$F$8&lt;'Your debts'!$F$12),R223,0)+IF(AND('Your debts'!$F$9&lt;&gt;"",'Your debts'!$F$12&lt;&gt;"",'Your debts'!$F$9&lt;'Your debts'!$F$12),W223,0)+IF(AND('Your debts'!$F$10&lt;&gt;"",'Your debts'!$F$12&lt;&gt;"",'Your debts'!$F$10&lt;'Your debts'!$F$12),AB223,0)+IF(AND('Your debts'!$F$11&lt;&gt;"",'Your debts'!$F$12&lt;&gt;"",'Your debts'!$F$11&lt;'Your debts'!$F$12),AG223,0)+IF(AND('Your debts'!$F$13&lt;&gt;"",'Your debts'!$F$12&lt;&gt;"",'Your debts'!$F$13&lt;'Your debts'!$F$12),AQ223,0)+IF(AND('Your debts'!$F$14&lt;&gt;"",'Your debts'!$F$12&lt;&gt;"",'Your debts'!$F$14&lt;'Your debts'!$F$12),AV223,0)+IF(AND('Your debts'!$F$15&lt;&gt;"",'Your debts'!$F$12&lt;&gt;"",'Your debts'!$F$15&lt;'Your debts'!$F$12),BA223,0)))))</f>
        <v/>
      </c>
      <c r="AN223" s="33">
        <f>AL223-AM223</f>
        <v/>
      </c>
      <c r="AO223" s="33">
        <f>IF(AS222&lt;=0,0,ROUND(AS222*(1+'Your debts'!$D$13/1200),2))</f>
        <v/>
      </c>
      <c r="AP223" s="33">
        <f>IF(AO223&lt;=0,0,MIN('Your debts'!$E$13,AO223))</f>
        <v/>
      </c>
      <c r="AQ223" s="33">
        <f>AO223-AP223</f>
        <v/>
      </c>
      <c r="AR223" s="33">
        <f>IF('Your debts'!$F$13="",0,MIN(AQ223,MAX(0,MAX(0,'Your debts'!$C$19-(G223+L223+Q223+V223+AA223+AF223+AK223+AP223+AU223+AZ223))-(IF(AND('Your debts'!$F$6&lt;&gt;"",'Your debts'!$F$13&lt;&gt;"",'Your debts'!$F$6&lt;'Your debts'!$F$13),H223,0)+IF(AND('Your debts'!$F$7&lt;&gt;"",'Your debts'!$F$13&lt;&gt;"",'Your debts'!$F$7&lt;'Your debts'!$F$13),M223,0)+IF(AND('Your debts'!$F$8&lt;&gt;"",'Your debts'!$F$13&lt;&gt;"",'Your debts'!$F$8&lt;'Your debts'!$F$13),R223,0)+IF(AND('Your debts'!$F$9&lt;&gt;"",'Your debts'!$F$13&lt;&gt;"",'Your debts'!$F$9&lt;'Your debts'!$F$13),W223,0)+IF(AND('Your debts'!$F$10&lt;&gt;"",'Your debts'!$F$13&lt;&gt;"",'Your debts'!$F$10&lt;'Your debts'!$F$13),AB223,0)+IF(AND('Your debts'!$F$11&lt;&gt;"",'Your debts'!$F$13&lt;&gt;"",'Your debts'!$F$11&lt;'Your debts'!$F$13),AG223,0)+IF(AND('Your debts'!$F$12&lt;&gt;"",'Your debts'!$F$13&lt;&gt;"",'Your debts'!$F$12&lt;'Your debts'!$F$13),AL223,0)+IF(AND('Your debts'!$F$14&lt;&gt;"",'Your debts'!$F$13&lt;&gt;"",'Your debts'!$F$14&lt;'Your debts'!$F$13),AV223,0)+IF(AND('Your debts'!$F$15&lt;&gt;"",'Your debts'!$F$13&lt;&gt;"",'Your debts'!$F$15&lt;'Your debts'!$F$13),BA223,0)))))</f>
        <v/>
      </c>
      <c r="AS223" s="33">
        <f>AQ223-AR223</f>
        <v/>
      </c>
      <c r="AT223" s="33">
        <f>IF(AX222&lt;=0,0,ROUND(AX222*(1+'Your debts'!$D$14/1200),2))</f>
        <v/>
      </c>
      <c r="AU223" s="33">
        <f>IF(AT223&lt;=0,0,MIN('Your debts'!$E$14,AT223))</f>
        <v/>
      </c>
      <c r="AV223" s="33">
        <f>AT223-AU223</f>
        <v/>
      </c>
      <c r="AW223" s="33">
        <f>IF('Your debts'!$F$14="",0,MIN(AV223,MAX(0,MAX(0,'Your debts'!$C$19-(G223+L223+Q223+V223+AA223+AF223+AK223+AP223+AU223+AZ223))-(IF(AND('Your debts'!$F$6&lt;&gt;"",'Your debts'!$F$14&lt;&gt;"",'Your debts'!$F$6&lt;'Your debts'!$F$14),H223,0)+IF(AND('Your debts'!$F$7&lt;&gt;"",'Your debts'!$F$14&lt;&gt;"",'Your debts'!$F$7&lt;'Your debts'!$F$14),M223,0)+IF(AND('Your debts'!$F$8&lt;&gt;"",'Your debts'!$F$14&lt;&gt;"",'Your debts'!$F$8&lt;'Your debts'!$F$14),R223,0)+IF(AND('Your debts'!$F$9&lt;&gt;"",'Your debts'!$F$14&lt;&gt;"",'Your debts'!$F$9&lt;'Your debts'!$F$14),W223,0)+IF(AND('Your debts'!$F$10&lt;&gt;"",'Your debts'!$F$14&lt;&gt;"",'Your debts'!$F$10&lt;'Your debts'!$F$14),AB223,0)+IF(AND('Your debts'!$F$11&lt;&gt;"",'Your debts'!$F$14&lt;&gt;"",'Your debts'!$F$11&lt;'Your debts'!$F$14),AG223,0)+IF(AND('Your debts'!$F$12&lt;&gt;"",'Your debts'!$F$14&lt;&gt;"",'Your debts'!$F$12&lt;'Your debts'!$F$14),AL223,0)+IF(AND('Your debts'!$F$13&lt;&gt;"",'Your debts'!$F$14&lt;&gt;"",'Your debts'!$F$13&lt;'Your debts'!$F$14),AQ223,0)+IF(AND('Your debts'!$F$15&lt;&gt;"",'Your debts'!$F$14&lt;&gt;"",'Your debts'!$F$15&lt;'Your debts'!$F$14),BA223,0)))))</f>
        <v/>
      </c>
      <c r="AX223" s="33">
        <f>AV223-AW223</f>
        <v/>
      </c>
      <c r="AY223" s="33">
        <f>IF(BC222&lt;=0,0,ROUND(BC222*(1+'Your debts'!$D$15/1200),2))</f>
        <v/>
      </c>
      <c r="AZ223" s="33">
        <f>IF(AY223&lt;=0,0,MIN('Your debts'!$E$15,AY223))</f>
        <v/>
      </c>
      <c r="BA223" s="33">
        <f>AY223-AZ223</f>
        <v/>
      </c>
      <c r="BB223" s="33">
        <f>IF('Your debts'!$F$15="",0,MIN(BA223,MAX(0,MAX(0,'Your debts'!$C$19-(G223+L223+Q223+V223+AA223+AF223+AK223+AP223+AU223+AZ223))-(IF(AND('Your debts'!$F$6&lt;&gt;"",'Your debts'!$F$15&lt;&gt;"",'Your debts'!$F$6&lt;'Your debts'!$F$15),H223,0)+IF(AND('Your debts'!$F$7&lt;&gt;"",'Your debts'!$F$15&lt;&gt;"",'Your debts'!$F$7&lt;'Your debts'!$F$15),M223,0)+IF(AND('Your debts'!$F$8&lt;&gt;"",'Your debts'!$F$15&lt;&gt;"",'Your debts'!$F$8&lt;'Your debts'!$F$15),R223,0)+IF(AND('Your debts'!$F$9&lt;&gt;"",'Your debts'!$F$15&lt;&gt;"",'Your debts'!$F$9&lt;'Your debts'!$F$15),W223,0)+IF(AND('Your debts'!$F$10&lt;&gt;"",'Your debts'!$F$15&lt;&gt;"",'Your debts'!$F$10&lt;'Your debts'!$F$15),AB223,0)+IF(AND('Your debts'!$F$11&lt;&gt;"",'Your debts'!$F$15&lt;&gt;"",'Your debts'!$F$11&lt;'Your debts'!$F$15),AG223,0)+IF(AND('Your debts'!$F$12&lt;&gt;"",'Your debts'!$F$15&lt;&gt;"",'Your debts'!$F$12&lt;'Your debts'!$F$15),AL223,0)+IF(AND('Your debts'!$F$13&lt;&gt;"",'Your debts'!$F$15&lt;&gt;"",'Your debts'!$F$13&lt;'Your debts'!$F$15),AQ223,0)+IF(AND('Your debts'!$F$14&lt;&gt;"",'Your debts'!$F$15&lt;&gt;"",'Your debts'!$F$14&lt;'Your debts'!$F$15),AV223,0)))))</f>
        <v/>
      </c>
      <c r="BC223" s="33">
        <f>BA223-BB223</f>
        <v/>
      </c>
    </row>
    <row r="224">
      <c r="A224" s="30" t="n">
        <v>209</v>
      </c>
      <c r="B224" s="31">
        <f>EDATE($B$15,209)</f>
        <v/>
      </c>
      <c r="C224" s="32">
        <f>IF(J223&lt;=0,0,F224-J223)+IF(O223&lt;=0,0,K224-O223)+IF(T223&lt;=0,0,P224-T223)+IF(Y223&lt;=0,0,U224-Y223)+IF(AD223&lt;=0,0,Z224-AD223)+IF(AI223&lt;=0,0,AE224-AI223)+IF(AN223&lt;=0,0,AJ224-AN223)+IF(AS223&lt;=0,0,AO224-AS223)+IF(AX223&lt;=0,0,AT224-AX223)+IF(BC223&lt;=0,0,AY224-BC223)</f>
        <v/>
      </c>
      <c r="D224" s="32">
        <f>G224+I224+L224+N224+Q224+S224+V224+X224+AA224+AC224+AF224+AH224+AK224+AM224+AP224+AR224+AU224+AW224+AZ224+BB224</f>
        <v/>
      </c>
      <c r="E224" s="32">
        <f>J224+O224+T224+Y224+AD224+AI224+AN224+AS224+AX224+BC224</f>
        <v/>
      </c>
      <c r="F224" s="33">
        <f>IF(J223&lt;=0,0,ROUND(J223*(1+'Your debts'!$D$6/1200),2))</f>
        <v/>
      </c>
      <c r="G224" s="33">
        <f>IF(F224&lt;=0,0,MIN('Your debts'!$E$6,F224))</f>
        <v/>
      </c>
      <c r="H224" s="33">
        <f>F224-G224</f>
        <v/>
      </c>
      <c r="I224" s="33">
        <f>IF('Your debts'!$F$6="",0,MIN(H224,MAX(0,MAX(0,'Your debts'!$C$19-(G224+L224+Q224+V224+AA224+AF224+AK224+AP224+AU224+AZ224))-(IF(AND('Your debts'!$F$7&lt;&gt;"",'Your debts'!$F$6&lt;&gt;"",'Your debts'!$F$7&lt;'Your debts'!$F$6),M224,0)+IF(AND('Your debts'!$F$8&lt;&gt;"",'Your debts'!$F$6&lt;&gt;"",'Your debts'!$F$8&lt;'Your debts'!$F$6),R224,0)+IF(AND('Your debts'!$F$9&lt;&gt;"",'Your debts'!$F$6&lt;&gt;"",'Your debts'!$F$9&lt;'Your debts'!$F$6),W224,0)+IF(AND('Your debts'!$F$10&lt;&gt;"",'Your debts'!$F$6&lt;&gt;"",'Your debts'!$F$10&lt;'Your debts'!$F$6),AB224,0)+IF(AND('Your debts'!$F$11&lt;&gt;"",'Your debts'!$F$6&lt;&gt;"",'Your debts'!$F$11&lt;'Your debts'!$F$6),AG224,0)+IF(AND('Your debts'!$F$12&lt;&gt;"",'Your debts'!$F$6&lt;&gt;"",'Your debts'!$F$12&lt;'Your debts'!$F$6),AL224,0)+IF(AND('Your debts'!$F$13&lt;&gt;"",'Your debts'!$F$6&lt;&gt;"",'Your debts'!$F$13&lt;'Your debts'!$F$6),AQ224,0)+IF(AND('Your debts'!$F$14&lt;&gt;"",'Your debts'!$F$6&lt;&gt;"",'Your debts'!$F$14&lt;'Your debts'!$F$6),AV224,0)+IF(AND('Your debts'!$F$15&lt;&gt;"",'Your debts'!$F$6&lt;&gt;"",'Your debts'!$F$15&lt;'Your debts'!$F$6),BA224,0)))))</f>
        <v/>
      </c>
      <c r="J224" s="33">
        <f>H224-I224</f>
        <v/>
      </c>
      <c r="K224" s="33">
        <f>IF(O223&lt;=0,0,ROUND(O223*(1+'Your debts'!$D$7/1200),2))</f>
        <v/>
      </c>
      <c r="L224" s="33">
        <f>IF(K224&lt;=0,0,MIN('Your debts'!$E$7,K224))</f>
        <v/>
      </c>
      <c r="M224" s="33">
        <f>K224-L224</f>
        <v/>
      </c>
      <c r="N224" s="33">
        <f>IF('Your debts'!$F$7="",0,MIN(M224,MAX(0,MAX(0,'Your debts'!$C$19-(G224+L224+Q224+V224+AA224+AF224+AK224+AP224+AU224+AZ224))-(IF(AND('Your debts'!$F$6&lt;&gt;"",'Your debts'!$F$7&lt;&gt;"",'Your debts'!$F$6&lt;'Your debts'!$F$7),H224,0)+IF(AND('Your debts'!$F$8&lt;&gt;"",'Your debts'!$F$7&lt;&gt;"",'Your debts'!$F$8&lt;'Your debts'!$F$7),R224,0)+IF(AND('Your debts'!$F$9&lt;&gt;"",'Your debts'!$F$7&lt;&gt;"",'Your debts'!$F$9&lt;'Your debts'!$F$7),W224,0)+IF(AND('Your debts'!$F$10&lt;&gt;"",'Your debts'!$F$7&lt;&gt;"",'Your debts'!$F$10&lt;'Your debts'!$F$7),AB224,0)+IF(AND('Your debts'!$F$11&lt;&gt;"",'Your debts'!$F$7&lt;&gt;"",'Your debts'!$F$11&lt;'Your debts'!$F$7),AG224,0)+IF(AND('Your debts'!$F$12&lt;&gt;"",'Your debts'!$F$7&lt;&gt;"",'Your debts'!$F$12&lt;'Your debts'!$F$7),AL224,0)+IF(AND('Your debts'!$F$13&lt;&gt;"",'Your debts'!$F$7&lt;&gt;"",'Your debts'!$F$13&lt;'Your debts'!$F$7),AQ224,0)+IF(AND('Your debts'!$F$14&lt;&gt;"",'Your debts'!$F$7&lt;&gt;"",'Your debts'!$F$14&lt;'Your debts'!$F$7),AV224,0)+IF(AND('Your debts'!$F$15&lt;&gt;"",'Your debts'!$F$7&lt;&gt;"",'Your debts'!$F$15&lt;'Your debts'!$F$7),BA224,0)))))</f>
        <v/>
      </c>
      <c r="O224" s="33">
        <f>M224-N224</f>
        <v/>
      </c>
      <c r="P224" s="33">
        <f>IF(T223&lt;=0,0,ROUND(T223*(1+'Your debts'!$D$8/1200),2))</f>
        <v/>
      </c>
      <c r="Q224" s="33">
        <f>IF(P224&lt;=0,0,MIN('Your debts'!$E$8,P224))</f>
        <v/>
      </c>
      <c r="R224" s="33">
        <f>P224-Q224</f>
        <v/>
      </c>
      <c r="S224" s="33">
        <f>IF('Your debts'!$F$8="",0,MIN(R224,MAX(0,MAX(0,'Your debts'!$C$19-(G224+L224+Q224+V224+AA224+AF224+AK224+AP224+AU224+AZ224))-(IF(AND('Your debts'!$F$6&lt;&gt;"",'Your debts'!$F$8&lt;&gt;"",'Your debts'!$F$6&lt;'Your debts'!$F$8),H224,0)+IF(AND('Your debts'!$F$7&lt;&gt;"",'Your debts'!$F$8&lt;&gt;"",'Your debts'!$F$7&lt;'Your debts'!$F$8),M224,0)+IF(AND('Your debts'!$F$9&lt;&gt;"",'Your debts'!$F$8&lt;&gt;"",'Your debts'!$F$9&lt;'Your debts'!$F$8),W224,0)+IF(AND('Your debts'!$F$10&lt;&gt;"",'Your debts'!$F$8&lt;&gt;"",'Your debts'!$F$10&lt;'Your debts'!$F$8),AB224,0)+IF(AND('Your debts'!$F$11&lt;&gt;"",'Your debts'!$F$8&lt;&gt;"",'Your debts'!$F$11&lt;'Your debts'!$F$8),AG224,0)+IF(AND('Your debts'!$F$12&lt;&gt;"",'Your debts'!$F$8&lt;&gt;"",'Your debts'!$F$12&lt;'Your debts'!$F$8),AL224,0)+IF(AND('Your debts'!$F$13&lt;&gt;"",'Your debts'!$F$8&lt;&gt;"",'Your debts'!$F$13&lt;'Your debts'!$F$8),AQ224,0)+IF(AND('Your debts'!$F$14&lt;&gt;"",'Your debts'!$F$8&lt;&gt;"",'Your debts'!$F$14&lt;'Your debts'!$F$8),AV224,0)+IF(AND('Your debts'!$F$15&lt;&gt;"",'Your debts'!$F$8&lt;&gt;"",'Your debts'!$F$15&lt;'Your debts'!$F$8),BA224,0)))))</f>
        <v/>
      </c>
      <c r="T224" s="33">
        <f>R224-S224</f>
        <v/>
      </c>
      <c r="U224" s="33">
        <f>IF(Y223&lt;=0,0,ROUND(Y223*(1+'Your debts'!$D$9/1200),2))</f>
        <v/>
      </c>
      <c r="V224" s="33">
        <f>IF(U224&lt;=0,0,MIN('Your debts'!$E$9,U224))</f>
        <v/>
      </c>
      <c r="W224" s="33">
        <f>U224-V224</f>
        <v/>
      </c>
      <c r="X224" s="33">
        <f>IF('Your debts'!$F$9="",0,MIN(W224,MAX(0,MAX(0,'Your debts'!$C$19-(G224+L224+Q224+V224+AA224+AF224+AK224+AP224+AU224+AZ224))-(IF(AND('Your debts'!$F$6&lt;&gt;"",'Your debts'!$F$9&lt;&gt;"",'Your debts'!$F$6&lt;'Your debts'!$F$9),H224,0)+IF(AND('Your debts'!$F$7&lt;&gt;"",'Your debts'!$F$9&lt;&gt;"",'Your debts'!$F$7&lt;'Your debts'!$F$9),M224,0)+IF(AND('Your debts'!$F$8&lt;&gt;"",'Your debts'!$F$9&lt;&gt;"",'Your debts'!$F$8&lt;'Your debts'!$F$9),R224,0)+IF(AND('Your debts'!$F$10&lt;&gt;"",'Your debts'!$F$9&lt;&gt;"",'Your debts'!$F$10&lt;'Your debts'!$F$9),AB224,0)+IF(AND('Your debts'!$F$11&lt;&gt;"",'Your debts'!$F$9&lt;&gt;"",'Your debts'!$F$11&lt;'Your debts'!$F$9),AG224,0)+IF(AND('Your debts'!$F$12&lt;&gt;"",'Your debts'!$F$9&lt;&gt;"",'Your debts'!$F$12&lt;'Your debts'!$F$9),AL224,0)+IF(AND('Your debts'!$F$13&lt;&gt;"",'Your debts'!$F$9&lt;&gt;"",'Your debts'!$F$13&lt;'Your debts'!$F$9),AQ224,0)+IF(AND('Your debts'!$F$14&lt;&gt;"",'Your debts'!$F$9&lt;&gt;"",'Your debts'!$F$14&lt;'Your debts'!$F$9),AV224,0)+IF(AND('Your debts'!$F$15&lt;&gt;"",'Your debts'!$F$9&lt;&gt;"",'Your debts'!$F$15&lt;'Your debts'!$F$9),BA224,0)))))</f>
        <v/>
      </c>
      <c r="Y224" s="33">
        <f>W224-X224</f>
        <v/>
      </c>
      <c r="Z224" s="33">
        <f>IF(AD223&lt;=0,0,ROUND(AD223*(1+'Your debts'!$D$10/1200),2))</f>
        <v/>
      </c>
      <c r="AA224" s="33">
        <f>IF(Z224&lt;=0,0,MIN('Your debts'!$E$10,Z224))</f>
        <v/>
      </c>
      <c r="AB224" s="33">
        <f>Z224-AA224</f>
        <v/>
      </c>
      <c r="AC224" s="33">
        <f>IF('Your debts'!$F$10="",0,MIN(AB224,MAX(0,MAX(0,'Your debts'!$C$19-(G224+L224+Q224+V224+AA224+AF224+AK224+AP224+AU224+AZ224))-(IF(AND('Your debts'!$F$6&lt;&gt;"",'Your debts'!$F$10&lt;&gt;"",'Your debts'!$F$6&lt;'Your debts'!$F$10),H224,0)+IF(AND('Your debts'!$F$7&lt;&gt;"",'Your debts'!$F$10&lt;&gt;"",'Your debts'!$F$7&lt;'Your debts'!$F$10),M224,0)+IF(AND('Your debts'!$F$8&lt;&gt;"",'Your debts'!$F$10&lt;&gt;"",'Your debts'!$F$8&lt;'Your debts'!$F$10),R224,0)+IF(AND('Your debts'!$F$9&lt;&gt;"",'Your debts'!$F$10&lt;&gt;"",'Your debts'!$F$9&lt;'Your debts'!$F$10),W224,0)+IF(AND('Your debts'!$F$11&lt;&gt;"",'Your debts'!$F$10&lt;&gt;"",'Your debts'!$F$11&lt;'Your debts'!$F$10),AG224,0)+IF(AND('Your debts'!$F$12&lt;&gt;"",'Your debts'!$F$10&lt;&gt;"",'Your debts'!$F$12&lt;'Your debts'!$F$10),AL224,0)+IF(AND('Your debts'!$F$13&lt;&gt;"",'Your debts'!$F$10&lt;&gt;"",'Your debts'!$F$13&lt;'Your debts'!$F$10),AQ224,0)+IF(AND('Your debts'!$F$14&lt;&gt;"",'Your debts'!$F$10&lt;&gt;"",'Your debts'!$F$14&lt;'Your debts'!$F$10),AV224,0)+IF(AND('Your debts'!$F$15&lt;&gt;"",'Your debts'!$F$10&lt;&gt;"",'Your debts'!$F$15&lt;'Your debts'!$F$10),BA224,0)))))</f>
        <v/>
      </c>
      <c r="AD224" s="33">
        <f>AB224-AC224</f>
        <v/>
      </c>
      <c r="AE224" s="33">
        <f>IF(AI223&lt;=0,0,ROUND(AI223*(1+'Your debts'!$D$11/1200),2))</f>
        <v/>
      </c>
      <c r="AF224" s="33">
        <f>IF(AE224&lt;=0,0,MIN('Your debts'!$E$11,AE224))</f>
        <v/>
      </c>
      <c r="AG224" s="33">
        <f>AE224-AF224</f>
        <v/>
      </c>
      <c r="AH224" s="33">
        <f>IF('Your debts'!$F$11="",0,MIN(AG224,MAX(0,MAX(0,'Your debts'!$C$19-(G224+L224+Q224+V224+AA224+AF224+AK224+AP224+AU224+AZ224))-(IF(AND('Your debts'!$F$6&lt;&gt;"",'Your debts'!$F$11&lt;&gt;"",'Your debts'!$F$6&lt;'Your debts'!$F$11),H224,0)+IF(AND('Your debts'!$F$7&lt;&gt;"",'Your debts'!$F$11&lt;&gt;"",'Your debts'!$F$7&lt;'Your debts'!$F$11),M224,0)+IF(AND('Your debts'!$F$8&lt;&gt;"",'Your debts'!$F$11&lt;&gt;"",'Your debts'!$F$8&lt;'Your debts'!$F$11),R224,0)+IF(AND('Your debts'!$F$9&lt;&gt;"",'Your debts'!$F$11&lt;&gt;"",'Your debts'!$F$9&lt;'Your debts'!$F$11),W224,0)+IF(AND('Your debts'!$F$10&lt;&gt;"",'Your debts'!$F$11&lt;&gt;"",'Your debts'!$F$10&lt;'Your debts'!$F$11),AB224,0)+IF(AND('Your debts'!$F$12&lt;&gt;"",'Your debts'!$F$11&lt;&gt;"",'Your debts'!$F$12&lt;'Your debts'!$F$11),AL224,0)+IF(AND('Your debts'!$F$13&lt;&gt;"",'Your debts'!$F$11&lt;&gt;"",'Your debts'!$F$13&lt;'Your debts'!$F$11),AQ224,0)+IF(AND('Your debts'!$F$14&lt;&gt;"",'Your debts'!$F$11&lt;&gt;"",'Your debts'!$F$14&lt;'Your debts'!$F$11),AV224,0)+IF(AND('Your debts'!$F$15&lt;&gt;"",'Your debts'!$F$11&lt;&gt;"",'Your debts'!$F$15&lt;'Your debts'!$F$11),BA224,0)))))</f>
        <v/>
      </c>
      <c r="AI224" s="33">
        <f>AG224-AH224</f>
        <v/>
      </c>
      <c r="AJ224" s="33">
        <f>IF(AN223&lt;=0,0,ROUND(AN223*(1+'Your debts'!$D$12/1200),2))</f>
        <v/>
      </c>
      <c r="AK224" s="33">
        <f>IF(AJ224&lt;=0,0,MIN('Your debts'!$E$12,AJ224))</f>
        <v/>
      </c>
      <c r="AL224" s="33">
        <f>AJ224-AK224</f>
        <v/>
      </c>
      <c r="AM224" s="33">
        <f>IF('Your debts'!$F$12="",0,MIN(AL224,MAX(0,MAX(0,'Your debts'!$C$19-(G224+L224+Q224+V224+AA224+AF224+AK224+AP224+AU224+AZ224))-(IF(AND('Your debts'!$F$6&lt;&gt;"",'Your debts'!$F$12&lt;&gt;"",'Your debts'!$F$6&lt;'Your debts'!$F$12),H224,0)+IF(AND('Your debts'!$F$7&lt;&gt;"",'Your debts'!$F$12&lt;&gt;"",'Your debts'!$F$7&lt;'Your debts'!$F$12),M224,0)+IF(AND('Your debts'!$F$8&lt;&gt;"",'Your debts'!$F$12&lt;&gt;"",'Your debts'!$F$8&lt;'Your debts'!$F$12),R224,0)+IF(AND('Your debts'!$F$9&lt;&gt;"",'Your debts'!$F$12&lt;&gt;"",'Your debts'!$F$9&lt;'Your debts'!$F$12),W224,0)+IF(AND('Your debts'!$F$10&lt;&gt;"",'Your debts'!$F$12&lt;&gt;"",'Your debts'!$F$10&lt;'Your debts'!$F$12),AB224,0)+IF(AND('Your debts'!$F$11&lt;&gt;"",'Your debts'!$F$12&lt;&gt;"",'Your debts'!$F$11&lt;'Your debts'!$F$12),AG224,0)+IF(AND('Your debts'!$F$13&lt;&gt;"",'Your debts'!$F$12&lt;&gt;"",'Your debts'!$F$13&lt;'Your debts'!$F$12),AQ224,0)+IF(AND('Your debts'!$F$14&lt;&gt;"",'Your debts'!$F$12&lt;&gt;"",'Your debts'!$F$14&lt;'Your debts'!$F$12),AV224,0)+IF(AND('Your debts'!$F$15&lt;&gt;"",'Your debts'!$F$12&lt;&gt;"",'Your debts'!$F$15&lt;'Your debts'!$F$12),BA224,0)))))</f>
        <v/>
      </c>
      <c r="AN224" s="33">
        <f>AL224-AM224</f>
        <v/>
      </c>
      <c r="AO224" s="33">
        <f>IF(AS223&lt;=0,0,ROUND(AS223*(1+'Your debts'!$D$13/1200),2))</f>
        <v/>
      </c>
      <c r="AP224" s="33">
        <f>IF(AO224&lt;=0,0,MIN('Your debts'!$E$13,AO224))</f>
        <v/>
      </c>
      <c r="AQ224" s="33">
        <f>AO224-AP224</f>
        <v/>
      </c>
      <c r="AR224" s="33">
        <f>IF('Your debts'!$F$13="",0,MIN(AQ224,MAX(0,MAX(0,'Your debts'!$C$19-(G224+L224+Q224+V224+AA224+AF224+AK224+AP224+AU224+AZ224))-(IF(AND('Your debts'!$F$6&lt;&gt;"",'Your debts'!$F$13&lt;&gt;"",'Your debts'!$F$6&lt;'Your debts'!$F$13),H224,0)+IF(AND('Your debts'!$F$7&lt;&gt;"",'Your debts'!$F$13&lt;&gt;"",'Your debts'!$F$7&lt;'Your debts'!$F$13),M224,0)+IF(AND('Your debts'!$F$8&lt;&gt;"",'Your debts'!$F$13&lt;&gt;"",'Your debts'!$F$8&lt;'Your debts'!$F$13),R224,0)+IF(AND('Your debts'!$F$9&lt;&gt;"",'Your debts'!$F$13&lt;&gt;"",'Your debts'!$F$9&lt;'Your debts'!$F$13),W224,0)+IF(AND('Your debts'!$F$10&lt;&gt;"",'Your debts'!$F$13&lt;&gt;"",'Your debts'!$F$10&lt;'Your debts'!$F$13),AB224,0)+IF(AND('Your debts'!$F$11&lt;&gt;"",'Your debts'!$F$13&lt;&gt;"",'Your debts'!$F$11&lt;'Your debts'!$F$13),AG224,0)+IF(AND('Your debts'!$F$12&lt;&gt;"",'Your debts'!$F$13&lt;&gt;"",'Your debts'!$F$12&lt;'Your debts'!$F$13),AL224,0)+IF(AND('Your debts'!$F$14&lt;&gt;"",'Your debts'!$F$13&lt;&gt;"",'Your debts'!$F$14&lt;'Your debts'!$F$13),AV224,0)+IF(AND('Your debts'!$F$15&lt;&gt;"",'Your debts'!$F$13&lt;&gt;"",'Your debts'!$F$15&lt;'Your debts'!$F$13),BA224,0)))))</f>
        <v/>
      </c>
      <c r="AS224" s="33">
        <f>AQ224-AR224</f>
        <v/>
      </c>
      <c r="AT224" s="33">
        <f>IF(AX223&lt;=0,0,ROUND(AX223*(1+'Your debts'!$D$14/1200),2))</f>
        <v/>
      </c>
      <c r="AU224" s="33">
        <f>IF(AT224&lt;=0,0,MIN('Your debts'!$E$14,AT224))</f>
        <v/>
      </c>
      <c r="AV224" s="33">
        <f>AT224-AU224</f>
        <v/>
      </c>
      <c r="AW224" s="33">
        <f>IF('Your debts'!$F$14="",0,MIN(AV224,MAX(0,MAX(0,'Your debts'!$C$19-(G224+L224+Q224+V224+AA224+AF224+AK224+AP224+AU224+AZ224))-(IF(AND('Your debts'!$F$6&lt;&gt;"",'Your debts'!$F$14&lt;&gt;"",'Your debts'!$F$6&lt;'Your debts'!$F$14),H224,0)+IF(AND('Your debts'!$F$7&lt;&gt;"",'Your debts'!$F$14&lt;&gt;"",'Your debts'!$F$7&lt;'Your debts'!$F$14),M224,0)+IF(AND('Your debts'!$F$8&lt;&gt;"",'Your debts'!$F$14&lt;&gt;"",'Your debts'!$F$8&lt;'Your debts'!$F$14),R224,0)+IF(AND('Your debts'!$F$9&lt;&gt;"",'Your debts'!$F$14&lt;&gt;"",'Your debts'!$F$9&lt;'Your debts'!$F$14),W224,0)+IF(AND('Your debts'!$F$10&lt;&gt;"",'Your debts'!$F$14&lt;&gt;"",'Your debts'!$F$10&lt;'Your debts'!$F$14),AB224,0)+IF(AND('Your debts'!$F$11&lt;&gt;"",'Your debts'!$F$14&lt;&gt;"",'Your debts'!$F$11&lt;'Your debts'!$F$14),AG224,0)+IF(AND('Your debts'!$F$12&lt;&gt;"",'Your debts'!$F$14&lt;&gt;"",'Your debts'!$F$12&lt;'Your debts'!$F$14),AL224,0)+IF(AND('Your debts'!$F$13&lt;&gt;"",'Your debts'!$F$14&lt;&gt;"",'Your debts'!$F$13&lt;'Your debts'!$F$14),AQ224,0)+IF(AND('Your debts'!$F$15&lt;&gt;"",'Your debts'!$F$14&lt;&gt;"",'Your debts'!$F$15&lt;'Your debts'!$F$14),BA224,0)))))</f>
        <v/>
      </c>
      <c r="AX224" s="33">
        <f>AV224-AW224</f>
        <v/>
      </c>
      <c r="AY224" s="33">
        <f>IF(BC223&lt;=0,0,ROUND(BC223*(1+'Your debts'!$D$15/1200),2))</f>
        <v/>
      </c>
      <c r="AZ224" s="33">
        <f>IF(AY224&lt;=0,0,MIN('Your debts'!$E$15,AY224))</f>
        <v/>
      </c>
      <c r="BA224" s="33">
        <f>AY224-AZ224</f>
        <v/>
      </c>
      <c r="BB224" s="33">
        <f>IF('Your debts'!$F$15="",0,MIN(BA224,MAX(0,MAX(0,'Your debts'!$C$19-(G224+L224+Q224+V224+AA224+AF224+AK224+AP224+AU224+AZ224))-(IF(AND('Your debts'!$F$6&lt;&gt;"",'Your debts'!$F$15&lt;&gt;"",'Your debts'!$F$6&lt;'Your debts'!$F$15),H224,0)+IF(AND('Your debts'!$F$7&lt;&gt;"",'Your debts'!$F$15&lt;&gt;"",'Your debts'!$F$7&lt;'Your debts'!$F$15),M224,0)+IF(AND('Your debts'!$F$8&lt;&gt;"",'Your debts'!$F$15&lt;&gt;"",'Your debts'!$F$8&lt;'Your debts'!$F$15),R224,0)+IF(AND('Your debts'!$F$9&lt;&gt;"",'Your debts'!$F$15&lt;&gt;"",'Your debts'!$F$9&lt;'Your debts'!$F$15),W224,0)+IF(AND('Your debts'!$F$10&lt;&gt;"",'Your debts'!$F$15&lt;&gt;"",'Your debts'!$F$10&lt;'Your debts'!$F$15),AB224,0)+IF(AND('Your debts'!$F$11&lt;&gt;"",'Your debts'!$F$15&lt;&gt;"",'Your debts'!$F$11&lt;'Your debts'!$F$15),AG224,0)+IF(AND('Your debts'!$F$12&lt;&gt;"",'Your debts'!$F$15&lt;&gt;"",'Your debts'!$F$12&lt;'Your debts'!$F$15),AL224,0)+IF(AND('Your debts'!$F$13&lt;&gt;"",'Your debts'!$F$15&lt;&gt;"",'Your debts'!$F$13&lt;'Your debts'!$F$15),AQ224,0)+IF(AND('Your debts'!$F$14&lt;&gt;"",'Your debts'!$F$15&lt;&gt;"",'Your debts'!$F$14&lt;'Your debts'!$F$15),AV224,0)))))</f>
        <v/>
      </c>
      <c r="BC224" s="33">
        <f>BA224-BB224</f>
        <v/>
      </c>
    </row>
    <row r="225">
      <c r="A225" s="30" t="n">
        <v>210</v>
      </c>
      <c r="B225" s="31">
        <f>EDATE($B$15,210)</f>
        <v/>
      </c>
      <c r="C225" s="32">
        <f>IF(J224&lt;=0,0,F225-J224)+IF(O224&lt;=0,0,K225-O224)+IF(T224&lt;=0,0,P225-T224)+IF(Y224&lt;=0,0,U225-Y224)+IF(AD224&lt;=0,0,Z225-AD224)+IF(AI224&lt;=0,0,AE225-AI224)+IF(AN224&lt;=0,0,AJ225-AN224)+IF(AS224&lt;=0,0,AO225-AS224)+IF(AX224&lt;=0,0,AT225-AX224)+IF(BC224&lt;=0,0,AY225-BC224)</f>
        <v/>
      </c>
      <c r="D225" s="32">
        <f>G225+I225+L225+N225+Q225+S225+V225+X225+AA225+AC225+AF225+AH225+AK225+AM225+AP225+AR225+AU225+AW225+AZ225+BB225</f>
        <v/>
      </c>
      <c r="E225" s="32">
        <f>J225+O225+T225+Y225+AD225+AI225+AN225+AS225+AX225+BC225</f>
        <v/>
      </c>
      <c r="F225" s="33">
        <f>IF(J224&lt;=0,0,ROUND(J224*(1+'Your debts'!$D$6/1200),2))</f>
        <v/>
      </c>
      <c r="G225" s="33">
        <f>IF(F225&lt;=0,0,MIN('Your debts'!$E$6,F225))</f>
        <v/>
      </c>
      <c r="H225" s="33">
        <f>F225-G225</f>
        <v/>
      </c>
      <c r="I225" s="33">
        <f>IF('Your debts'!$F$6="",0,MIN(H225,MAX(0,MAX(0,'Your debts'!$C$19-(G225+L225+Q225+V225+AA225+AF225+AK225+AP225+AU225+AZ225))-(IF(AND('Your debts'!$F$7&lt;&gt;"",'Your debts'!$F$6&lt;&gt;"",'Your debts'!$F$7&lt;'Your debts'!$F$6),M225,0)+IF(AND('Your debts'!$F$8&lt;&gt;"",'Your debts'!$F$6&lt;&gt;"",'Your debts'!$F$8&lt;'Your debts'!$F$6),R225,0)+IF(AND('Your debts'!$F$9&lt;&gt;"",'Your debts'!$F$6&lt;&gt;"",'Your debts'!$F$9&lt;'Your debts'!$F$6),W225,0)+IF(AND('Your debts'!$F$10&lt;&gt;"",'Your debts'!$F$6&lt;&gt;"",'Your debts'!$F$10&lt;'Your debts'!$F$6),AB225,0)+IF(AND('Your debts'!$F$11&lt;&gt;"",'Your debts'!$F$6&lt;&gt;"",'Your debts'!$F$11&lt;'Your debts'!$F$6),AG225,0)+IF(AND('Your debts'!$F$12&lt;&gt;"",'Your debts'!$F$6&lt;&gt;"",'Your debts'!$F$12&lt;'Your debts'!$F$6),AL225,0)+IF(AND('Your debts'!$F$13&lt;&gt;"",'Your debts'!$F$6&lt;&gt;"",'Your debts'!$F$13&lt;'Your debts'!$F$6),AQ225,0)+IF(AND('Your debts'!$F$14&lt;&gt;"",'Your debts'!$F$6&lt;&gt;"",'Your debts'!$F$14&lt;'Your debts'!$F$6),AV225,0)+IF(AND('Your debts'!$F$15&lt;&gt;"",'Your debts'!$F$6&lt;&gt;"",'Your debts'!$F$15&lt;'Your debts'!$F$6),BA225,0)))))</f>
        <v/>
      </c>
      <c r="J225" s="33">
        <f>H225-I225</f>
        <v/>
      </c>
      <c r="K225" s="33">
        <f>IF(O224&lt;=0,0,ROUND(O224*(1+'Your debts'!$D$7/1200),2))</f>
        <v/>
      </c>
      <c r="L225" s="33">
        <f>IF(K225&lt;=0,0,MIN('Your debts'!$E$7,K225))</f>
        <v/>
      </c>
      <c r="M225" s="33">
        <f>K225-L225</f>
        <v/>
      </c>
      <c r="N225" s="33">
        <f>IF('Your debts'!$F$7="",0,MIN(M225,MAX(0,MAX(0,'Your debts'!$C$19-(G225+L225+Q225+V225+AA225+AF225+AK225+AP225+AU225+AZ225))-(IF(AND('Your debts'!$F$6&lt;&gt;"",'Your debts'!$F$7&lt;&gt;"",'Your debts'!$F$6&lt;'Your debts'!$F$7),H225,0)+IF(AND('Your debts'!$F$8&lt;&gt;"",'Your debts'!$F$7&lt;&gt;"",'Your debts'!$F$8&lt;'Your debts'!$F$7),R225,0)+IF(AND('Your debts'!$F$9&lt;&gt;"",'Your debts'!$F$7&lt;&gt;"",'Your debts'!$F$9&lt;'Your debts'!$F$7),W225,0)+IF(AND('Your debts'!$F$10&lt;&gt;"",'Your debts'!$F$7&lt;&gt;"",'Your debts'!$F$10&lt;'Your debts'!$F$7),AB225,0)+IF(AND('Your debts'!$F$11&lt;&gt;"",'Your debts'!$F$7&lt;&gt;"",'Your debts'!$F$11&lt;'Your debts'!$F$7),AG225,0)+IF(AND('Your debts'!$F$12&lt;&gt;"",'Your debts'!$F$7&lt;&gt;"",'Your debts'!$F$12&lt;'Your debts'!$F$7),AL225,0)+IF(AND('Your debts'!$F$13&lt;&gt;"",'Your debts'!$F$7&lt;&gt;"",'Your debts'!$F$13&lt;'Your debts'!$F$7),AQ225,0)+IF(AND('Your debts'!$F$14&lt;&gt;"",'Your debts'!$F$7&lt;&gt;"",'Your debts'!$F$14&lt;'Your debts'!$F$7),AV225,0)+IF(AND('Your debts'!$F$15&lt;&gt;"",'Your debts'!$F$7&lt;&gt;"",'Your debts'!$F$15&lt;'Your debts'!$F$7),BA225,0)))))</f>
        <v/>
      </c>
      <c r="O225" s="33">
        <f>M225-N225</f>
        <v/>
      </c>
      <c r="P225" s="33">
        <f>IF(T224&lt;=0,0,ROUND(T224*(1+'Your debts'!$D$8/1200),2))</f>
        <v/>
      </c>
      <c r="Q225" s="33">
        <f>IF(P225&lt;=0,0,MIN('Your debts'!$E$8,P225))</f>
        <v/>
      </c>
      <c r="R225" s="33">
        <f>P225-Q225</f>
        <v/>
      </c>
      <c r="S225" s="33">
        <f>IF('Your debts'!$F$8="",0,MIN(R225,MAX(0,MAX(0,'Your debts'!$C$19-(G225+L225+Q225+V225+AA225+AF225+AK225+AP225+AU225+AZ225))-(IF(AND('Your debts'!$F$6&lt;&gt;"",'Your debts'!$F$8&lt;&gt;"",'Your debts'!$F$6&lt;'Your debts'!$F$8),H225,0)+IF(AND('Your debts'!$F$7&lt;&gt;"",'Your debts'!$F$8&lt;&gt;"",'Your debts'!$F$7&lt;'Your debts'!$F$8),M225,0)+IF(AND('Your debts'!$F$9&lt;&gt;"",'Your debts'!$F$8&lt;&gt;"",'Your debts'!$F$9&lt;'Your debts'!$F$8),W225,0)+IF(AND('Your debts'!$F$10&lt;&gt;"",'Your debts'!$F$8&lt;&gt;"",'Your debts'!$F$10&lt;'Your debts'!$F$8),AB225,0)+IF(AND('Your debts'!$F$11&lt;&gt;"",'Your debts'!$F$8&lt;&gt;"",'Your debts'!$F$11&lt;'Your debts'!$F$8),AG225,0)+IF(AND('Your debts'!$F$12&lt;&gt;"",'Your debts'!$F$8&lt;&gt;"",'Your debts'!$F$12&lt;'Your debts'!$F$8),AL225,0)+IF(AND('Your debts'!$F$13&lt;&gt;"",'Your debts'!$F$8&lt;&gt;"",'Your debts'!$F$13&lt;'Your debts'!$F$8),AQ225,0)+IF(AND('Your debts'!$F$14&lt;&gt;"",'Your debts'!$F$8&lt;&gt;"",'Your debts'!$F$14&lt;'Your debts'!$F$8),AV225,0)+IF(AND('Your debts'!$F$15&lt;&gt;"",'Your debts'!$F$8&lt;&gt;"",'Your debts'!$F$15&lt;'Your debts'!$F$8),BA225,0)))))</f>
        <v/>
      </c>
      <c r="T225" s="33">
        <f>R225-S225</f>
        <v/>
      </c>
      <c r="U225" s="33">
        <f>IF(Y224&lt;=0,0,ROUND(Y224*(1+'Your debts'!$D$9/1200),2))</f>
        <v/>
      </c>
      <c r="V225" s="33">
        <f>IF(U225&lt;=0,0,MIN('Your debts'!$E$9,U225))</f>
        <v/>
      </c>
      <c r="W225" s="33">
        <f>U225-V225</f>
        <v/>
      </c>
      <c r="X225" s="33">
        <f>IF('Your debts'!$F$9="",0,MIN(W225,MAX(0,MAX(0,'Your debts'!$C$19-(G225+L225+Q225+V225+AA225+AF225+AK225+AP225+AU225+AZ225))-(IF(AND('Your debts'!$F$6&lt;&gt;"",'Your debts'!$F$9&lt;&gt;"",'Your debts'!$F$6&lt;'Your debts'!$F$9),H225,0)+IF(AND('Your debts'!$F$7&lt;&gt;"",'Your debts'!$F$9&lt;&gt;"",'Your debts'!$F$7&lt;'Your debts'!$F$9),M225,0)+IF(AND('Your debts'!$F$8&lt;&gt;"",'Your debts'!$F$9&lt;&gt;"",'Your debts'!$F$8&lt;'Your debts'!$F$9),R225,0)+IF(AND('Your debts'!$F$10&lt;&gt;"",'Your debts'!$F$9&lt;&gt;"",'Your debts'!$F$10&lt;'Your debts'!$F$9),AB225,0)+IF(AND('Your debts'!$F$11&lt;&gt;"",'Your debts'!$F$9&lt;&gt;"",'Your debts'!$F$11&lt;'Your debts'!$F$9),AG225,0)+IF(AND('Your debts'!$F$12&lt;&gt;"",'Your debts'!$F$9&lt;&gt;"",'Your debts'!$F$12&lt;'Your debts'!$F$9),AL225,0)+IF(AND('Your debts'!$F$13&lt;&gt;"",'Your debts'!$F$9&lt;&gt;"",'Your debts'!$F$13&lt;'Your debts'!$F$9),AQ225,0)+IF(AND('Your debts'!$F$14&lt;&gt;"",'Your debts'!$F$9&lt;&gt;"",'Your debts'!$F$14&lt;'Your debts'!$F$9),AV225,0)+IF(AND('Your debts'!$F$15&lt;&gt;"",'Your debts'!$F$9&lt;&gt;"",'Your debts'!$F$15&lt;'Your debts'!$F$9),BA225,0)))))</f>
        <v/>
      </c>
      <c r="Y225" s="33">
        <f>W225-X225</f>
        <v/>
      </c>
      <c r="Z225" s="33">
        <f>IF(AD224&lt;=0,0,ROUND(AD224*(1+'Your debts'!$D$10/1200),2))</f>
        <v/>
      </c>
      <c r="AA225" s="33">
        <f>IF(Z225&lt;=0,0,MIN('Your debts'!$E$10,Z225))</f>
        <v/>
      </c>
      <c r="AB225" s="33">
        <f>Z225-AA225</f>
        <v/>
      </c>
      <c r="AC225" s="33">
        <f>IF('Your debts'!$F$10="",0,MIN(AB225,MAX(0,MAX(0,'Your debts'!$C$19-(G225+L225+Q225+V225+AA225+AF225+AK225+AP225+AU225+AZ225))-(IF(AND('Your debts'!$F$6&lt;&gt;"",'Your debts'!$F$10&lt;&gt;"",'Your debts'!$F$6&lt;'Your debts'!$F$10),H225,0)+IF(AND('Your debts'!$F$7&lt;&gt;"",'Your debts'!$F$10&lt;&gt;"",'Your debts'!$F$7&lt;'Your debts'!$F$10),M225,0)+IF(AND('Your debts'!$F$8&lt;&gt;"",'Your debts'!$F$10&lt;&gt;"",'Your debts'!$F$8&lt;'Your debts'!$F$10),R225,0)+IF(AND('Your debts'!$F$9&lt;&gt;"",'Your debts'!$F$10&lt;&gt;"",'Your debts'!$F$9&lt;'Your debts'!$F$10),W225,0)+IF(AND('Your debts'!$F$11&lt;&gt;"",'Your debts'!$F$10&lt;&gt;"",'Your debts'!$F$11&lt;'Your debts'!$F$10),AG225,0)+IF(AND('Your debts'!$F$12&lt;&gt;"",'Your debts'!$F$10&lt;&gt;"",'Your debts'!$F$12&lt;'Your debts'!$F$10),AL225,0)+IF(AND('Your debts'!$F$13&lt;&gt;"",'Your debts'!$F$10&lt;&gt;"",'Your debts'!$F$13&lt;'Your debts'!$F$10),AQ225,0)+IF(AND('Your debts'!$F$14&lt;&gt;"",'Your debts'!$F$10&lt;&gt;"",'Your debts'!$F$14&lt;'Your debts'!$F$10),AV225,0)+IF(AND('Your debts'!$F$15&lt;&gt;"",'Your debts'!$F$10&lt;&gt;"",'Your debts'!$F$15&lt;'Your debts'!$F$10),BA225,0)))))</f>
        <v/>
      </c>
      <c r="AD225" s="33">
        <f>AB225-AC225</f>
        <v/>
      </c>
      <c r="AE225" s="33">
        <f>IF(AI224&lt;=0,0,ROUND(AI224*(1+'Your debts'!$D$11/1200),2))</f>
        <v/>
      </c>
      <c r="AF225" s="33">
        <f>IF(AE225&lt;=0,0,MIN('Your debts'!$E$11,AE225))</f>
        <v/>
      </c>
      <c r="AG225" s="33">
        <f>AE225-AF225</f>
        <v/>
      </c>
      <c r="AH225" s="33">
        <f>IF('Your debts'!$F$11="",0,MIN(AG225,MAX(0,MAX(0,'Your debts'!$C$19-(G225+L225+Q225+V225+AA225+AF225+AK225+AP225+AU225+AZ225))-(IF(AND('Your debts'!$F$6&lt;&gt;"",'Your debts'!$F$11&lt;&gt;"",'Your debts'!$F$6&lt;'Your debts'!$F$11),H225,0)+IF(AND('Your debts'!$F$7&lt;&gt;"",'Your debts'!$F$11&lt;&gt;"",'Your debts'!$F$7&lt;'Your debts'!$F$11),M225,0)+IF(AND('Your debts'!$F$8&lt;&gt;"",'Your debts'!$F$11&lt;&gt;"",'Your debts'!$F$8&lt;'Your debts'!$F$11),R225,0)+IF(AND('Your debts'!$F$9&lt;&gt;"",'Your debts'!$F$11&lt;&gt;"",'Your debts'!$F$9&lt;'Your debts'!$F$11),W225,0)+IF(AND('Your debts'!$F$10&lt;&gt;"",'Your debts'!$F$11&lt;&gt;"",'Your debts'!$F$10&lt;'Your debts'!$F$11),AB225,0)+IF(AND('Your debts'!$F$12&lt;&gt;"",'Your debts'!$F$11&lt;&gt;"",'Your debts'!$F$12&lt;'Your debts'!$F$11),AL225,0)+IF(AND('Your debts'!$F$13&lt;&gt;"",'Your debts'!$F$11&lt;&gt;"",'Your debts'!$F$13&lt;'Your debts'!$F$11),AQ225,0)+IF(AND('Your debts'!$F$14&lt;&gt;"",'Your debts'!$F$11&lt;&gt;"",'Your debts'!$F$14&lt;'Your debts'!$F$11),AV225,0)+IF(AND('Your debts'!$F$15&lt;&gt;"",'Your debts'!$F$11&lt;&gt;"",'Your debts'!$F$15&lt;'Your debts'!$F$11),BA225,0)))))</f>
        <v/>
      </c>
      <c r="AI225" s="33">
        <f>AG225-AH225</f>
        <v/>
      </c>
      <c r="AJ225" s="33">
        <f>IF(AN224&lt;=0,0,ROUND(AN224*(1+'Your debts'!$D$12/1200),2))</f>
        <v/>
      </c>
      <c r="AK225" s="33">
        <f>IF(AJ225&lt;=0,0,MIN('Your debts'!$E$12,AJ225))</f>
        <v/>
      </c>
      <c r="AL225" s="33">
        <f>AJ225-AK225</f>
        <v/>
      </c>
      <c r="AM225" s="33">
        <f>IF('Your debts'!$F$12="",0,MIN(AL225,MAX(0,MAX(0,'Your debts'!$C$19-(G225+L225+Q225+V225+AA225+AF225+AK225+AP225+AU225+AZ225))-(IF(AND('Your debts'!$F$6&lt;&gt;"",'Your debts'!$F$12&lt;&gt;"",'Your debts'!$F$6&lt;'Your debts'!$F$12),H225,0)+IF(AND('Your debts'!$F$7&lt;&gt;"",'Your debts'!$F$12&lt;&gt;"",'Your debts'!$F$7&lt;'Your debts'!$F$12),M225,0)+IF(AND('Your debts'!$F$8&lt;&gt;"",'Your debts'!$F$12&lt;&gt;"",'Your debts'!$F$8&lt;'Your debts'!$F$12),R225,0)+IF(AND('Your debts'!$F$9&lt;&gt;"",'Your debts'!$F$12&lt;&gt;"",'Your debts'!$F$9&lt;'Your debts'!$F$12),W225,0)+IF(AND('Your debts'!$F$10&lt;&gt;"",'Your debts'!$F$12&lt;&gt;"",'Your debts'!$F$10&lt;'Your debts'!$F$12),AB225,0)+IF(AND('Your debts'!$F$11&lt;&gt;"",'Your debts'!$F$12&lt;&gt;"",'Your debts'!$F$11&lt;'Your debts'!$F$12),AG225,0)+IF(AND('Your debts'!$F$13&lt;&gt;"",'Your debts'!$F$12&lt;&gt;"",'Your debts'!$F$13&lt;'Your debts'!$F$12),AQ225,0)+IF(AND('Your debts'!$F$14&lt;&gt;"",'Your debts'!$F$12&lt;&gt;"",'Your debts'!$F$14&lt;'Your debts'!$F$12),AV225,0)+IF(AND('Your debts'!$F$15&lt;&gt;"",'Your debts'!$F$12&lt;&gt;"",'Your debts'!$F$15&lt;'Your debts'!$F$12),BA225,0)))))</f>
        <v/>
      </c>
      <c r="AN225" s="33">
        <f>AL225-AM225</f>
        <v/>
      </c>
      <c r="AO225" s="33">
        <f>IF(AS224&lt;=0,0,ROUND(AS224*(1+'Your debts'!$D$13/1200),2))</f>
        <v/>
      </c>
      <c r="AP225" s="33">
        <f>IF(AO225&lt;=0,0,MIN('Your debts'!$E$13,AO225))</f>
        <v/>
      </c>
      <c r="AQ225" s="33">
        <f>AO225-AP225</f>
        <v/>
      </c>
      <c r="AR225" s="33">
        <f>IF('Your debts'!$F$13="",0,MIN(AQ225,MAX(0,MAX(0,'Your debts'!$C$19-(G225+L225+Q225+V225+AA225+AF225+AK225+AP225+AU225+AZ225))-(IF(AND('Your debts'!$F$6&lt;&gt;"",'Your debts'!$F$13&lt;&gt;"",'Your debts'!$F$6&lt;'Your debts'!$F$13),H225,0)+IF(AND('Your debts'!$F$7&lt;&gt;"",'Your debts'!$F$13&lt;&gt;"",'Your debts'!$F$7&lt;'Your debts'!$F$13),M225,0)+IF(AND('Your debts'!$F$8&lt;&gt;"",'Your debts'!$F$13&lt;&gt;"",'Your debts'!$F$8&lt;'Your debts'!$F$13),R225,0)+IF(AND('Your debts'!$F$9&lt;&gt;"",'Your debts'!$F$13&lt;&gt;"",'Your debts'!$F$9&lt;'Your debts'!$F$13),W225,0)+IF(AND('Your debts'!$F$10&lt;&gt;"",'Your debts'!$F$13&lt;&gt;"",'Your debts'!$F$10&lt;'Your debts'!$F$13),AB225,0)+IF(AND('Your debts'!$F$11&lt;&gt;"",'Your debts'!$F$13&lt;&gt;"",'Your debts'!$F$11&lt;'Your debts'!$F$13),AG225,0)+IF(AND('Your debts'!$F$12&lt;&gt;"",'Your debts'!$F$13&lt;&gt;"",'Your debts'!$F$12&lt;'Your debts'!$F$13),AL225,0)+IF(AND('Your debts'!$F$14&lt;&gt;"",'Your debts'!$F$13&lt;&gt;"",'Your debts'!$F$14&lt;'Your debts'!$F$13),AV225,0)+IF(AND('Your debts'!$F$15&lt;&gt;"",'Your debts'!$F$13&lt;&gt;"",'Your debts'!$F$15&lt;'Your debts'!$F$13),BA225,0)))))</f>
        <v/>
      </c>
      <c r="AS225" s="33">
        <f>AQ225-AR225</f>
        <v/>
      </c>
      <c r="AT225" s="33">
        <f>IF(AX224&lt;=0,0,ROUND(AX224*(1+'Your debts'!$D$14/1200),2))</f>
        <v/>
      </c>
      <c r="AU225" s="33">
        <f>IF(AT225&lt;=0,0,MIN('Your debts'!$E$14,AT225))</f>
        <v/>
      </c>
      <c r="AV225" s="33">
        <f>AT225-AU225</f>
        <v/>
      </c>
      <c r="AW225" s="33">
        <f>IF('Your debts'!$F$14="",0,MIN(AV225,MAX(0,MAX(0,'Your debts'!$C$19-(G225+L225+Q225+V225+AA225+AF225+AK225+AP225+AU225+AZ225))-(IF(AND('Your debts'!$F$6&lt;&gt;"",'Your debts'!$F$14&lt;&gt;"",'Your debts'!$F$6&lt;'Your debts'!$F$14),H225,0)+IF(AND('Your debts'!$F$7&lt;&gt;"",'Your debts'!$F$14&lt;&gt;"",'Your debts'!$F$7&lt;'Your debts'!$F$14),M225,0)+IF(AND('Your debts'!$F$8&lt;&gt;"",'Your debts'!$F$14&lt;&gt;"",'Your debts'!$F$8&lt;'Your debts'!$F$14),R225,0)+IF(AND('Your debts'!$F$9&lt;&gt;"",'Your debts'!$F$14&lt;&gt;"",'Your debts'!$F$9&lt;'Your debts'!$F$14),W225,0)+IF(AND('Your debts'!$F$10&lt;&gt;"",'Your debts'!$F$14&lt;&gt;"",'Your debts'!$F$10&lt;'Your debts'!$F$14),AB225,0)+IF(AND('Your debts'!$F$11&lt;&gt;"",'Your debts'!$F$14&lt;&gt;"",'Your debts'!$F$11&lt;'Your debts'!$F$14),AG225,0)+IF(AND('Your debts'!$F$12&lt;&gt;"",'Your debts'!$F$14&lt;&gt;"",'Your debts'!$F$12&lt;'Your debts'!$F$14),AL225,0)+IF(AND('Your debts'!$F$13&lt;&gt;"",'Your debts'!$F$14&lt;&gt;"",'Your debts'!$F$13&lt;'Your debts'!$F$14),AQ225,0)+IF(AND('Your debts'!$F$15&lt;&gt;"",'Your debts'!$F$14&lt;&gt;"",'Your debts'!$F$15&lt;'Your debts'!$F$14),BA225,0)))))</f>
        <v/>
      </c>
      <c r="AX225" s="33">
        <f>AV225-AW225</f>
        <v/>
      </c>
      <c r="AY225" s="33">
        <f>IF(BC224&lt;=0,0,ROUND(BC224*(1+'Your debts'!$D$15/1200),2))</f>
        <v/>
      </c>
      <c r="AZ225" s="33">
        <f>IF(AY225&lt;=0,0,MIN('Your debts'!$E$15,AY225))</f>
        <v/>
      </c>
      <c r="BA225" s="33">
        <f>AY225-AZ225</f>
        <v/>
      </c>
      <c r="BB225" s="33">
        <f>IF('Your debts'!$F$15="",0,MIN(BA225,MAX(0,MAX(0,'Your debts'!$C$19-(G225+L225+Q225+V225+AA225+AF225+AK225+AP225+AU225+AZ225))-(IF(AND('Your debts'!$F$6&lt;&gt;"",'Your debts'!$F$15&lt;&gt;"",'Your debts'!$F$6&lt;'Your debts'!$F$15),H225,0)+IF(AND('Your debts'!$F$7&lt;&gt;"",'Your debts'!$F$15&lt;&gt;"",'Your debts'!$F$7&lt;'Your debts'!$F$15),M225,0)+IF(AND('Your debts'!$F$8&lt;&gt;"",'Your debts'!$F$15&lt;&gt;"",'Your debts'!$F$8&lt;'Your debts'!$F$15),R225,0)+IF(AND('Your debts'!$F$9&lt;&gt;"",'Your debts'!$F$15&lt;&gt;"",'Your debts'!$F$9&lt;'Your debts'!$F$15),W225,0)+IF(AND('Your debts'!$F$10&lt;&gt;"",'Your debts'!$F$15&lt;&gt;"",'Your debts'!$F$10&lt;'Your debts'!$F$15),AB225,0)+IF(AND('Your debts'!$F$11&lt;&gt;"",'Your debts'!$F$15&lt;&gt;"",'Your debts'!$F$11&lt;'Your debts'!$F$15),AG225,0)+IF(AND('Your debts'!$F$12&lt;&gt;"",'Your debts'!$F$15&lt;&gt;"",'Your debts'!$F$12&lt;'Your debts'!$F$15),AL225,0)+IF(AND('Your debts'!$F$13&lt;&gt;"",'Your debts'!$F$15&lt;&gt;"",'Your debts'!$F$13&lt;'Your debts'!$F$15),AQ225,0)+IF(AND('Your debts'!$F$14&lt;&gt;"",'Your debts'!$F$15&lt;&gt;"",'Your debts'!$F$14&lt;'Your debts'!$F$15),AV225,0)))))</f>
        <v/>
      </c>
      <c r="BC225" s="33">
        <f>BA225-BB225</f>
        <v/>
      </c>
    </row>
    <row r="226">
      <c r="A226" s="30" t="n">
        <v>211</v>
      </c>
      <c r="B226" s="31">
        <f>EDATE($B$15,211)</f>
        <v/>
      </c>
      <c r="C226" s="32">
        <f>IF(J225&lt;=0,0,F226-J225)+IF(O225&lt;=0,0,K226-O225)+IF(T225&lt;=0,0,P226-T225)+IF(Y225&lt;=0,0,U226-Y225)+IF(AD225&lt;=0,0,Z226-AD225)+IF(AI225&lt;=0,0,AE226-AI225)+IF(AN225&lt;=0,0,AJ226-AN225)+IF(AS225&lt;=0,0,AO226-AS225)+IF(AX225&lt;=0,0,AT226-AX225)+IF(BC225&lt;=0,0,AY226-BC225)</f>
        <v/>
      </c>
      <c r="D226" s="32">
        <f>G226+I226+L226+N226+Q226+S226+V226+X226+AA226+AC226+AF226+AH226+AK226+AM226+AP226+AR226+AU226+AW226+AZ226+BB226</f>
        <v/>
      </c>
      <c r="E226" s="32">
        <f>J226+O226+T226+Y226+AD226+AI226+AN226+AS226+AX226+BC226</f>
        <v/>
      </c>
      <c r="F226" s="33">
        <f>IF(J225&lt;=0,0,ROUND(J225*(1+'Your debts'!$D$6/1200),2))</f>
        <v/>
      </c>
      <c r="G226" s="33">
        <f>IF(F226&lt;=0,0,MIN('Your debts'!$E$6,F226))</f>
        <v/>
      </c>
      <c r="H226" s="33">
        <f>F226-G226</f>
        <v/>
      </c>
      <c r="I226" s="33">
        <f>IF('Your debts'!$F$6="",0,MIN(H226,MAX(0,MAX(0,'Your debts'!$C$19-(G226+L226+Q226+V226+AA226+AF226+AK226+AP226+AU226+AZ226))-(IF(AND('Your debts'!$F$7&lt;&gt;"",'Your debts'!$F$6&lt;&gt;"",'Your debts'!$F$7&lt;'Your debts'!$F$6),M226,0)+IF(AND('Your debts'!$F$8&lt;&gt;"",'Your debts'!$F$6&lt;&gt;"",'Your debts'!$F$8&lt;'Your debts'!$F$6),R226,0)+IF(AND('Your debts'!$F$9&lt;&gt;"",'Your debts'!$F$6&lt;&gt;"",'Your debts'!$F$9&lt;'Your debts'!$F$6),W226,0)+IF(AND('Your debts'!$F$10&lt;&gt;"",'Your debts'!$F$6&lt;&gt;"",'Your debts'!$F$10&lt;'Your debts'!$F$6),AB226,0)+IF(AND('Your debts'!$F$11&lt;&gt;"",'Your debts'!$F$6&lt;&gt;"",'Your debts'!$F$11&lt;'Your debts'!$F$6),AG226,0)+IF(AND('Your debts'!$F$12&lt;&gt;"",'Your debts'!$F$6&lt;&gt;"",'Your debts'!$F$12&lt;'Your debts'!$F$6),AL226,0)+IF(AND('Your debts'!$F$13&lt;&gt;"",'Your debts'!$F$6&lt;&gt;"",'Your debts'!$F$13&lt;'Your debts'!$F$6),AQ226,0)+IF(AND('Your debts'!$F$14&lt;&gt;"",'Your debts'!$F$6&lt;&gt;"",'Your debts'!$F$14&lt;'Your debts'!$F$6),AV226,0)+IF(AND('Your debts'!$F$15&lt;&gt;"",'Your debts'!$F$6&lt;&gt;"",'Your debts'!$F$15&lt;'Your debts'!$F$6),BA226,0)))))</f>
        <v/>
      </c>
      <c r="J226" s="33">
        <f>H226-I226</f>
        <v/>
      </c>
      <c r="K226" s="33">
        <f>IF(O225&lt;=0,0,ROUND(O225*(1+'Your debts'!$D$7/1200),2))</f>
        <v/>
      </c>
      <c r="L226" s="33">
        <f>IF(K226&lt;=0,0,MIN('Your debts'!$E$7,K226))</f>
        <v/>
      </c>
      <c r="M226" s="33">
        <f>K226-L226</f>
        <v/>
      </c>
      <c r="N226" s="33">
        <f>IF('Your debts'!$F$7="",0,MIN(M226,MAX(0,MAX(0,'Your debts'!$C$19-(G226+L226+Q226+V226+AA226+AF226+AK226+AP226+AU226+AZ226))-(IF(AND('Your debts'!$F$6&lt;&gt;"",'Your debts'!$F$7&lt;&gt;"",'Your debts'!$F$6&lt;'Your debts'!$F$7),H226,0)+IF(AND('Your debts'!$F$8&lt;&gt;"",'Your debts'!$F$7&lt;&gt;"",'Your debts'!$F$8&lt;'Your debts'!$F$7),R226,0)+IF(AND('Your debts'!$F$9&lt;&gt;"",'Your debts'!$F$7&lt;&gt;"",'Your debts'!$F$9&lt;'Your debts'!$F$7),W226,0)+IF(AND('Your debts'!$F$10&lt;&gt;"",'Your debts'!$F$7&lt;&gt;"",'Your debts'!$F$10&lt;'Your debts'!$F$7),AB226,0)+IF(AND('Your debts'!$F$11&lt;&gt;"",'Your debts'!$F$7&lt;&gt;"",'Your debts'!$F$11&lt;'Your debts'!$F$7),AG226,0)+IF(AND('Your debts'!$F$12&lt;&gt;"",'Your debts'!$F$7&lt;&gt;"",'Your debts'!$F$12&lt;'Your debts'!$F$7),AL226,0)+IF(AND('Your debts'!$F$13&lt;&gt;"",'Your debts'!$F$7&lt;&gt;"",'Your debts'!$F$13&lt;'Your debts'!$F$7),AQ226,0)+IF(AND('Your debts'!$F$14&lt;&gt;"",'Your debts'!$F$7&lt;&gt;"",'Your debts'!$F$14&lt;'Your debts'!$F$7),AV226,0)+IF(AND('Your debts'!$F$15&lt;&gt;"",'Your debts'!$F$7&lt;&gt;"",'Your debts'!$F$15&lt;'Your debts'!$F$7),BA226,0)))))</f>
        <v/>
      </c>
      <c r="O226" s="33">
        <f>M226-N226</f>
        <v/>
      </c>
      <c r="P226" s="33">
        <f>IF(T225&lt;=0,0,ROUND(T225*(1+'Your debts'!$D$8/1200),2))</f>
        <v/>
      </c>
      <c r="Q226" s="33">
        <f>IF(P226&lt;=0,0,MIN('Your debts'!$E$8,P226))</f>
        <v/>
      </c>
      <c r="R226" s="33">
        <f>P226-Q226</f>
        <v/>
      </c>
      <c r="S226" s="33">
        <f>IF('Your debts'!$F$8="",0,MIN(R226,MAX(0,MAX(0,'Your debts'!$C$19-(G226+L226+Q226+V226+AA226+AF226+AK226+AP226+AU226+AZ226))-(IF(AND('Your debts'!$F$6&lt;&gt;"",'Your debts'!$F$8&lt;&gt;"",'Your debts'!$F$6&lt;'Your debts'!$F$8),H226,0)+IF(AND('Your debts'!$F$7&lt;&gt;"",'Your debts'!$F$8&lt;&gt;"",'Your debts'!$F$7&lt;'Your debts'!$F$8),M226,0)+IF(AND('Your debts'!$F$9&lt;&gt;"",'Your debts'!$F$8&lt;&gt;"",'Your debts'!$F$9&lt;'Your debts'!$F$8),W226,0)+IF(AND('Your debts'!$F$10&lt;&gt;"",'Your debts'!$F$8&lt;&gt;"",'Your debts'!$F$10&lt;'Your debts'!$F$8),AB226,0)+IF(AND('Your debts'!$F$11&lt;&gt;"",'Your debts'!$F$8&lt;&gt;"",'Your debts'!$F$11&lt;'Your debts'!$F$8),AG226,0)+IF(AND('Your debts'!$F$12&lt;&gt;"",'Your debts'!$F$8&lt;&gt;"",'Your debts'!$F$12&lt;'Your debts'!$F$8),AL226,0)+IF(AND('Your debts'!$F$13&lt;&gt;"",'Your debts'!$F$8&lt;&gt;"",'Your debts'!$F$13&lt;'Your debts'!$F$8),AQ226,0)+IF(AND('Your debts'!$F$14&lt;&gt;"",'Your debts'!$F$8&lt;&gt;"",'Your debts'!$F$14&lt;'Your debts'!$F$8),AV226,0)+IF(AND('Your debts'!$F$15&lt;&gt;"",'Your debts'!$F$8&lt;&gt;"",'Your debts'!$F$15&lt;'Your debts'!$F$8),BA226,0)))))</f>
        <v/>
      </c>
      <c r="T226" s="33">
        <f>R226-S226</f>
        <v/>
      </c>
      <c r="U226" s="33">
        <f>IF(Y225&lt;=0,0,ROUND(Y225*(1+'Your debts'!$D$9/1200),2))</f>
        <v/>
      </c>
      <c r="V226" s="33">
        <f>IF(U226&lt;=0,0,MIN('Your debts'!$E$9,U226))</f>
        <v/>
      </c>
      <c r="W226" s="33">
        <f>U226-V226</f>
        <v/>
      </c>
      <c r="X226" s="33">
        <f>IF('Your debts'!$F$9="",0,MIN(W226,MAX(0,MAX(0,'Your debts'!$C$19-(G226+L226+Q226+V226+AA226+AF226+AK226+AP226+AU226+AZ226))-(IF(AND('Your debts'!$F$6&lt;&gt;"",'Your debts'!$F$9&lt;&gt;"",'Your debts'!$F$6&lt;'Your debts'!$F$9),H226,0)+IF(AND('Your debts'!$F$7&lt;&gt;"",'Your debts'!$F$9&lt;&gt;"",'Your debts'!$F$7&lt;'Your debts'!$F$9),M226,0)+IF(AND('Your debts'!$F$8&lt;&gt;"",'Your debts'!$F$9&lt;&gt;"",'Your debts'!$F$8&lt;'Your debts'!$F$9),R226,0)+IF(AND('Your debts'!$F$10&lt;&gt;"",'Your debts'!$F$9&lt;&gt;"",'Your debts'!$F$10&lt;'Your debts'!$F$9),AB226,0)+IF(AND('Your debts'!$F$11&lt;&gt;"",'Your debts'!$F$9&lt;&gt;"",'Your debts'!$F$11&lt;'Your debts'!$F$9),AG226,0)+IF(AND('Your debts'!$F$12&lt;&gt;"",'Your debts'!$F$9&lt;&gt;"",'Your debts'!$F$12&lt;'Your debts'!$F$9),AL226,0)+IF(AND('Your debts'!$F$13&lt;&gt;"",'Your debts'!$F$9&lt;&gt;"",'Your debts'!$F$13&lt;'Your debts'!$F$9),AQ226,0)+IF(AND('Your debts'!$F$14&lt;&gt;"",'Your debts'!$F$9&lt;&gt;"",'Your debts'!$F$14&lt;'Your debts'!$F$9),AV226,0)+IF(AND('Your debts'!$F$15&lt;&gt;"",'Your debts'!$F$9&lt;&gt;"",'Your debts'!$F$15&lt;'Your debts'!$F$9),BA226,0)))))</f>
        <v/>
      </c>
      <c r="Y226" s="33">
        <f>W226-X226</f>
        <v/>
      </c>
      <c r="Z226" s="33">
        <f>IF(AD225&lt;=0,0,ROUND(AD225*(1+'Your debts'!$D$10/1200),2))</f>
        <v/>
      </c>
      <c r="AA226" s="33">
        <f>IF(Z226&lt;=0,0,MIN('Your debts'!$E$10,Z226))</f>
        <v/>
      </c>
      <c r="AB226" s="33">
        <f>Z226-AA226</f>
        <v/>
      </c>
      <c r="AC226" s="33">
        <f>IF('Your debts'!$F$10="",0,MIN(AB226,MAX(0,MAX(0,'Your debts'!$C$19-(G226+L226+Q226+V226+AA226+AF226+AK226+AP226+AU226+AZ226))-(IF(AND('Your debts'!$F$6&lt;&gt;"",'Your debts'!$F$10&lt;&gt;"",'Your debts'!$F$6&lt;'Your debts'!$F$10),H226,0)+IF(AND('Your debts'!$F$7&lt;&gt;"",'Your debts'!$F$10&lt;&gt;"",'Your debts'!$F$7&lt;'Your debts'!$F$10),M226,0)+IF(AND('Your debts'!$F$8&lt;&gt;"",'Your debts'!$F$10&lt;&gt;"",'Your debts'!$F$8&lt;'Your debts'!$F$10),R226,0)+IF(AND('Your debts'!$F$9&lt;&gt;"",'Your debts'!$F$10&lt;&gt;"",'Your debts'!$F$9&lt;'Your debts'!$F$10),W226,0)+IF(AND('Your debts'!$F$11&lt;&gt;"",'Your debts'!$F$10&lt;&gt;"",'Your debts'!$F$11&lt;'Your debts'!$F$10),AG226,0)+IF(AND('Your debts'!$F$12&lt;&gt;"",'Your debts'!$F$10&lt;&gt;"",'Your debts'!$F$12&lt;'Your debts'!$F$10),AL226,0)+IF(AND('Your debts'!$F$13&lt;&gt;"",'Your debts'!$F$10&lt;&gt;"",'Your debts'!$F$13&lt;'Your debts'!$F$10),AQ226,0)+IF(AND('Your debts'!$F$14&lt;&gt;"",'Your debts'!$F$10&lt;&gt;"",'Your debts'!$F$14&lt;'Your debts'!$F$10),AV226,0)+IF(AND('Your debts'!$F$15&lt;&gt;"",'Your debts'!$F$10&lt;&gt;"",'Your debts'!$F$15&lt;'Your debts'!$F$10),BA226,0)))))</f>
        <v/>
      </c>
      <c r="AD226" s="33">
        <f>AB226-AC226</f>
        <v/>
      </c>
      <c r="AE226" s="33">
        <f>IF(AI225&lt;=0,0,ROUND(AI225*(1+'Your debts'!$D$11/1200),2))</f>
        <v/>
      </c>
      <c r="AF226" s="33">
        <f>IF(AE226&lt;=0,0,MIN('Your debts'!$E$11,AE226))</f>
        <v/>
      </c>
      <c r="AG226" s="33">
        <f>AE226-AF226</f>
        <v/>
      </c>
      <c r="AH226" s="33">
        <f>IF('Your debts'!$F$11="",0,MIN(AG226,MAX(0,MAX(0,'Your debts'!$C$19-(G226+L226+Q226+V226+AA226+AF226+AK226+AP226+AU226+AZ226))-(IF(AND('Your debts'!$F$6&lt;&gt;"",'Your debts'!$F$11&lt;&gt;"",'Your debts'!$F$6&lt;'Your debts'!$F$11),H226,0)+IF(AND('Your debts'!$F$7&lt;&gt;"",'Your debts'!$F$11&lt;&gt;"",'Your debts'!$F$7&lt;'Your debts'!$F$11),M226,0)+IF(AND('Your debts'!$F$8&lt;&gt;"",'Your debts'!$F$11&lt;&gt;"",'Your debts'!$F$8&lt;'Your debts'!$F$11),R226,0)+IF(AND('Your debts'!$F$9&lt;&gt;"",'Your debts'!$F$11&lt;&gt;"",'Your debts'!$F$9&lt;'Your debts'!$F$11),W226,0)+IF(AND('Your debts'!$F$10&lt;&gt;"",'Your debts'!$F$11&lt;&gt;"",'Your debts'!$F$10&lt;'Your debts'!$F$11),AB226,0)+IF(AND('Your debts'!$F$12&lt;&gt;"",'Your debts'!$F$11&lt;&gt;"",'Your debts'!$F$12&lt;'Your debts'!$F$11),AL226,0)+IF(AND('Your debts'!$F$13&lt;&gt;"",'Your debts'!$F$11&lt;&gt;"",'Your debts'!$F$13&lt;'Your debts'!$F$11),AQ226,0)+IF(AND('Your debts'!$F$14&lt;&gt;"",'Your debts'!$F$11&lt;&gt;"",'Your debts'!$F$14&lt;'Your debts'!$F$11),AV226,0)+IF(AND('Your debts'!$F$15&lt;&gt;"",'Your debts'!$F$11&lt;&gt;"",'Your debts'!$F$15&lt;'Your debts'!$F$11),BA226,0)))))</f>
        <v/>
      </c>
      <c r="AI226" s="33">
        <f>AG226-AH226</f>
        <v/>
      </c>
      <c r="AJ226" s="33">
        <f>IF(AN225&lt;=0,0,ROUND(AN225*(1+'Your debts'!$D$12/1200),2))</f>
        <v/>
      </c>
      <c r="AK226" s="33">
        <f>IF(AJ226&lt;=0,0,MIN('Your debts'!$E$12,AJ226))</f>
        <v/>
      </c>
      <c r="AL226" s="33">
        <f>AJ226-AK226</f>
        <v/>
      </c>
      <c r="AM226" s="33">
        <f>IF('Your debts'!$F$12="",0,MIN(AL226,MAX(0,MAX(0,'Your debts'!$C$19-(G226+L226+Q226+V226+AA226+AF226+AK226+AP226+AU226+AZ226))-(IF(AND('Your debts'!$F$6&lt;&gt;"",'Your debts'!$F$12&lt;&gt;"",'Your debts'!$F$6&lt;'Your debts'!$F$12),H226,0)+IF(AND('Your debts'!$F$7&lt;&gt;"",'Your debts'!$F$12&lt;&gt;"",'Your debts'!$F$7&lt;'Your debts'!$F$12),M226,0)+IF(AND('Your debts'!$F$8&lt;&gt;"",'Your debts'!$F$12&lt;&gt;"",'Your debts'!$F$8&lt;'Your debts'!$F$12),R226,0)+IF(AND('Your debts'!$F$9&lt;&gt;"",'Your debts'!$F$12&lt;&gt;"",'Your debts'!$F$9&lt;'Your debts'!$F$12),W226,0)+IF(AND('Your debts'!$F$10&lt;&gt;"",'Your debts'!$F$12&lt;&gt;"",'Your debts'!$F$10&lt;'Your debts'!$F$12),AB226,0)+IF(AND('Your debts'!$F$11&lt;&gt;"",'Your debts'!$F$12&lt;&gt;"",'Your debts'!$F$11&lt;'Your debts'!$F$12),AG226,0)+IF(AND('Your debts'!$F$13&lt;&gt;"",'Your debts'!$F$12&lt;&gt;"",'Your debts'!$F$13&lt;'Your debts'!$F$12),AQ226,0)+IF(AND('Your debts'!$F$14&lt;&gt;"",'Your debts'!$F$12&lt;&gt;"",'Your debts'!$F$14&lt;'Your debts'!$F$12),AV226,0)+IF(AND('Your debts'!$F$15&lt;&gt;"",'Your debts'!$F$12&lt;&gt;"",'Your debts'!$F$15&lt;'Your debts'!$F$12),BA226,0)))))</f>
        <v/>
      </c>
      <c r="AN226" s="33">
        <f>AL226-AM226</f>
        <v/>
      </c>
      <c r="AO226" s="33">
        <f>IF(AS225&lt;=0,0,ROUND(AS225*(1+'Your debts'!$D$13/1200),2))</f>
        <v/>
      </c>
      <c r="AP226" s="33">
        <f>IF(AO226&lt;=0,0,MIN('Your debts'!$E$13,AO226))</f>
        <v/>
      </c>
      <c r="AQ226" s="33">
        <f>AO226-AP226</f>
        <v/>
      </c>
      <c r="AR226" s="33">
        <f>IF('Your debts'!$F$13="",0,MIN(AQ226,MAX(0,MAX(0,'Your debts'!$C$19-(G226+L226+Q226+V226+AA226+AF226+AK226+AP226+AU226+AZ226))-(IF(AND('Your debts'!$F$6&lt;&gt;"",'Your debts'!$F$13&lt;&gt;"",'Your debts'!$F$6&lt;'Your debts'!$F$13),H226,0)+IF(AND('Your debts'!$F$7&lt;&gt;"",'Your debts'!$F$13&lt;&gt;"",'Your debts'!$F$7&lt;'Your debts'!$F$13),M226,0)+IF(AND('Your debts'!$F$8&lt;&gt;"",'Your debts'!$F$13&lt;&gt;"",'Your debts'!$F$8&lt;'Your debts'!$F$13),R226,0)+IF(AND('Your debts'!$F$9&lt;&gt;"",'Your debts'!$F$13&lt;&gt;"",'Your debts'!$F$9&lt;'Your debts'!$F$13),W226,0)+IF(AND('Your debts'!$F$10&lt;&gt;"",'Your debts'!$F$13&lt;&gt;"",'Your debts'!$F$10&lt;'Your debts'!$F$13),AB226,0)+IF(AND('Your debts'!$F$11&lt;&gt;"",'Your debts'!$F$13&lt;&gt;"",'Your debts'!$F$11&lt;'Your debts'!$F$13),AG226,0)+IF(AND('Your debts'!$F$12&lt;&gt;"",'Your debts'!$F$13&lt;&gt;"",'Your debts'!$F$12&lt;'Your debts'!$F$13),AL226,0)+IF(AND('Your debts'!$F$14&lt;&gt;"",'Your debts'!$F$13&lt;&gt;"",'Your debts'!$F$14&lt;'Your debts'!$F$13),AV226,0)+IF(AND('Your debts'!$F$15&lt;&gt;"",'Your debts'!$F$13&lt;&gt;"",'Your debts'!$F$15&lt;'Your debts'!$F$13),BA226,0)))))</f>
        <v/>
      </c>
      <c r="AS226" s="33">
        <f>AQ226-AR226</f>
        <v/>
      </c>
      <c r="AT226" s="33">
        <f>IF(AX225&lt;=0,0,ROUND(AX225*(1+'Your debts'!$D$14/1200),2))</f>
        <v/>
      </c>
      <c r="AU226" s="33">
        <f>IF(AT226&lt;=0,0,MIN('Your debts'!$E$14,AT226))</f>
        <v/>
      </c>
      <c r="AV226" s="33">
        <f>AT226-AU226</f>
        <v/>
      </c>
      <c r="AW226" s="33">
        <f>IF('Your debts'!$F$14="",0,MIN(AV226,MAX(0,MAX(0,'Your debts'!$C$19-(G226+L226+Q226+V226+AA226+AF226+AK226+AP226+AU226+AZ226))-(IF(AND('Your debts'!$F$6&lt;&gt;"",'Your debts'!$F$14&lt;&gt;"",'Your debts'!$F$6&lt;'Your debts'!$F$14),H226,0)+IF(AND('Your debts'!$F$7&lt;&gt;"",'Your debts'!$F$14&lt;&gt;"",'Your debts'!$F$7&lt;'Your debts'!$F$14),M226,0)+IF(AND('Your debts'!$F$8&lt;&gt;"",'Your debts'!$F$14&lt;&gt;"",'Your debts'!$F$8&lt;'Your debts'!$F$14),R226,0)+IF(AND('Your debts'!$F$9&lt;&gt;"",'Your debts'!$F$14&lt;&gt;"",'Your debts'!$F$9&lt;'Your debts'!$F$14),W226,0)+IF(AND('Your debts'!$F$10&lt;&gt;"",'Your debts'!$F$14&lt;&gt;"",'Your debts'!$F$10&lt;'Your debts'!$F$14),AB226,0)+IF(AND('Your debts'!$F$11&lt;&gt;"",'Your debts'!$F$14&lt;&gt;"",'Your debts'!$F$11&lt;'Your debts'!$F$14),AG226,0)+IF(AND('Your debts'!$F$12&lt;&gt;"",'Your debts'!$F$14&lt;&gt;"",'Your debts'!$F$12&lt;'Your debts'!$F$14),AL226,0)+IF(AND('Your debts'!$F$13&lt;&gt;"",'Your debts'!$F$14&lt;&gt;"",'Your debts'!$F$13&lt;'Your debts'!$F$14),AQ226,0)+IF(AND('Your debts'!$F$15&lt;&gt;"",'Your debts'!$F$14&lt;&gt;"",'Your debts'!$F$15&lt;'Your debts'!$F$14),BA226,0)))))</f>
        <v/>
      </c>
      <c r="AX226" s="33">
        <f>AV226-AW226</f>
        <v/>
      </c>
      <c r="AY226" s="33">
        <f>IF(BC225&lt;=0,0,ROUND(BC225*(1+'Your debts'!$D$15/1200),2))</f>
        <v/>
      </c>
      <c r="AZ226" s="33">
        <f>IF(AY226&lt;=0,0,MIN('Your debts'!$E$15,AY226))</f>
        <v/>
      </c>
      <c r="BA226" s="33">
        <f>AY226-AZ226</f>
        <v/>
      </c>
      <c r="BB226" s="33">
        <f>IF('Your debts'!$F$15="",0,MIN(BA226,MAX(0,MAX(0,'Your debts'!$C$19-(G226+L226+Q226+V226+AA226+AF226+AK226+AP226+AU226+AZ226))-(IF(AND('Your debts'!$F$6&lt;&gt;"",'Your debts'!$F$15&lt;&gt;"",'Your debts'!$F$6&lt;'Your debts'!$F$15),H226,0)+IF(AND('Your debts'!$F$7&lt;&gt;"",'Your debts'!$F$15&lt;&gt;"",'Your debts'!$F$7&lt;'Your debts'!$F$15),M226,0)+IF(AND('Your debts'!$F$8&lt;&gt;"",'Your debts'!$F$15&lt;&gt;"",'Your debts'!$F$8&lt;'Your debts'!$F$15),R226,0)+IF(AND('Your debts'!$F$9&lt;&gt;"",'Your debts'!$F$15&lt;&gt;"",'Your debts'!$F$9&lt;'Your debts'!$F$15),W226,0)+IF(AND('Your debts'!$F$10&lt;&gt;"",'Your debts'!$F$15&lt;&gt;"",'Your debts'!$F$10&lt;'Your debts'!$F$15),AB226,0)+IF(AND('Your debts'!$F$11&lt;&gt;"",'Your debts'!$F$15&lt;&gt;"",'Your debts'!$F$11&lt;'Your debts'!$F$15),AG226,0)+IF(AND('Your debts'!$F$12&lt;&gt;"",'Your debts'!$F$15&lt;&gt;"",'Your debts'!$F$12&lt;'Your debts'!$F$15),AL226,0)+IF(AND('Your debts'!$F$13&lt;&gt;"",'Your debts'!$F$15&lt;&gt;"",'Your debts'!$F$13&lt;'Your debts'!$F$15),AQ226,0)+IF(AND('Your debts'!$F$14&lt;&gt;"",'Your debts'!$F$15&lt;&gt;"",'Your debts'!$F$14&lt;'Your debts'!$F$15),AV226,0)))))</f>
        <v/>
      </c>
      <c r="BC226" s="33">
        <f>BA226-BB226</f>
        <v/>
      </c>
    </row>
    <row r="227">
      <c r="A227" s="30" t="n">
        <v>212</v>
      </c>
      <c r="B227" s="31">
        <f>EDATE($B$15,212)</f>
        <v/>
      </c>
      <c r="C227" s="32">
        <f>IF(J226&lt;=0,0,F227-J226)+IF(O226&lt;=0,0,K227-O226)+IF(T226&lt;=0,0,P227-T226)+IF(Y226&lt;=0,0,U227-Y226)+IF(AD226&lt;=0,0,Z227-AD226)+IF(AI226&lt;=0,0,AE227-AI226)+IF(AN226&lt;=0,0,AJ227-AN226)+IF(AS226&lt;=0,0,AO227-AS226)+IF(AX226&lt;=0,0,AT227-AX226)+IF(BC226&lt;=0,0,AY227-BC226)</f>
        <v/>
      </c>
      <c r="D227" s="32">
        <f>G227+I227+L227+N227+Q227+S227+V227+X227+AA227+AC227+AF227+AH227+AK227+AM227+AP227+AR227+AU227+AW227+AZ227+BB227</f>
        <v/>
      </c>
      <c r="E227" s="32">
        <f>J227+O227+T227+Y227+AD227+AI227+AN227+AS227+AX227+BC227</f>
        <v/>
      </c>
      <c r="F227" s="33">
        <f>IF(J226&lt;=0,0,ROUND(J226*(1+'Your debts'!$D$6/1200),2))</f>
        <v/>
      </c>
      <c r="G227" s="33">
        <f>IF(F227&lt;=0,0,MIN('Your debts'!$E$6,F227))</f>
        <v/>
      </c>
      <c r="H227" s="33">
        <f>F227-G227</f>
        <v/>
      </c>
      <c r="I227" s="33">
        <f>IF('Your debts'!$F$6="",0,MIN(H227,MAX(0,MAX(0,'Your debts'!$C$19-(G227+L227+Q227+V227+AA227+AF227+AK227+AP227+AU227+AZ227))-(IF(AND('Your debts'!$F$7&lt;&gt;"",'Your debts'!$F$6&lt;&gt;"",'Your debts'!$F$7&lt;'Your debts'!$F$6),M227,0)+IF(AND('Your debts'!$F$8&lt;&gt;"",'Your debts'!$F$6&lt;&gt;"",'Your debts'!$F$8&lt;'Your debts'!$F$6),R227,0)+IF(AND('Your debts'!$F$9&lt;&gt;"",'Your debts'!$F$6&lt;&gt;"",'Your debts'!$F$9&lt;'Your debts'!$F$6),W227,0)+IF(AND('Your debts'!$F$10&lt;&gt;"",'Your debts'!$F$6&lt;&gt;"",'Your debts'!$F$10&lt;'Your debts'!$F$6),AB227,0)+IF(AND('Your debts'!$F$11&lt;&gt;"",'Your debts'!$F$6&lt;&gt;"",'Your debts'!$F$11&lt;'Your debts'!$F$6),AG227,0)+IF(AND('Your debts'!$F$12&lt;&gt;"",'Your debts'!$F$6&lt;&gt;"",'Your debts'!$F$12&lt;'Your debts'!$F$6),AL227,0)+IF(AND('Your debts'!$F$13&lt;&gt;"",'Your debts'!$F$6&lt;&gt;"",'Your debts'!$F$13&lt;'Your debts'!$F$6),AQ227,0)+IF(AND('Your debts'!$F$14&lt;&gt;"",'Your debts'!$F$6&lt;&gt;"",'Your debts'!$F$14&lt;'Your debts'!$F$6),AV227,0)+IF(AND('Your debts'!$F$15&lt;&gt;"",'Your debts'!$F$6&lt;&gt;"",'Your debts'!$F$15&lt;'Your debts'!$F$6),BA227,0)))))</f>
        <v/>
      </c>
      <c r="J227" s="33">
        <f>H227-I227</f>
        <v/>
      </c>
      <c r="K227" s="33">
        <f>IF(O226&lt;=0,0,ROUND(O226*(1+'Your debts'!$D$7/1200),2))</f>
        <v/>
      </c>
      <c r="L227" s="33">
        <f>IF(K227&lt;=0,0,MIN('Your debts'!$E$7,K227))</f>
        <v/>
      </c>
      <c r="M227" s="33">
        <f>K227-L227</f>
        <v/>
      </c>
      <c r="N227" s="33">
        <f>IF('Your debts'!$F$7="",0,MIN(M227,MAX(0,MAX(0,'Your debts'!$C$19-(G227+L227+Q227+V227+AA227+AF227+AK227+AP227+AU227+AZ227))-(IF(AND('Your debts'!$F$6&lt;&gt;"",'Your debts'!$F$7&lt;&gt;"",'Your debts'!$F$6&lt;'Your debts'!$F$7),H227,0)+IF(AND('Your debts'!$F$8&lt;&gt;"",'Your debts'!$F$7&lt;&gt;"",'Your debts'!$F$8&lt;'Your debts'!$F$7),R227,0)+IF(AND('Your debts'!$F$9&lt;&gt;"",'Your debts'!$F$7&lt;&gt;"",'Your debts'!$F$9&lt;'Your debts'!$F$7),W227,0)+IF(AND('Your debts'!$F$10&lt;&gt;"",'Your debts'!$F$7&lt;&gt;"",'Your debts'!$F$10&lt;'Your debts'!$F$7),AB227,0)+IF(AND('Your debts'!$F$11&lt;&gt;"",'Your debts'!$F$7&lt;&gt;"",'Your debts'!$F$11&lt;'Your debts'!$F$7),AG227,0)+IF(AND('Your debts'!$F$12&lt;&gt;"",'Your debts'!$F$7&lt;&gt;"",'Your debts'!$F$12&lt;'Your debts'!$F$7),AL227,0)+IF(AND('Your debts'!$F$13&lt;&gt;"",'Your debts'!$F$7&lt;&gt;"",'Your debts'!$F$13&lt;'Your debts'!$F$7),AQ227,0)+IF(AND('Your debts'!$F$14&lt;&gt;"",'Your debts'!$F$7&lt;&gt;"",'Your debts'!$F$14&lt;'Your debts'!$F$7),AV227,0)+IF(AND('Your debts'!$F$15&lt;&gt;"",'Your debts'!$F$7&lt;&gt;"",'Your debts'!$F$15&lt;'Your debts'!$F$7),BA227,0)))))</f>
        <v/>
      </c>
      <c r="O227" s="33">
        <f>M227-N227</f>
        <v/>
      </c>
      <c r="P227" s="33">
        <f>IF(T226&lt;=0,0,ROUND(T226*(1+'Your debts'!$D$8/1200),2))</f>
        <v/>
      </c>
      <c r="Q227" s="33">
        <f>IF(P227&lt;=0,0,MIN('Your debts'!$E$8,P227))</f>
        <v/>
      </c>
      <c r="R227" s="33">
        <f>P227-Q227</f>
        <v/>
      </c>
      <c r="S227" s="33">
        <f>IF('Your debts'!$F$8="",0,MIN(R227,MAX(0,MAX(0,'Your debts'!$C$19-(G227+L227+Q227+V227+AA227+AF227+AK227+AP227+AU227+AZ227))-(IF(AND('Your debts'!$F$6&lt;&gt;"",'Your debts'!$F$8&lt;&gt;"",'Your debts'!$F$6&lt;'Your debts'!$F$8),H227,0)+IF(AND('Your debts'!$F$7&lt;&gt;"",'Your debts'!$F$8&lt;&gt;"",'Your debts'!$F$7&lt;'Your debts'!$F$8),M227,0)+IF(AND('Your debts'!$F$9&lt;&gt;"",'Your debts'!$F$8&lt;&gt;"",'Your debts'!$F$9&lt;'Your debts'!$F$8),W227,0)+IF(AND('Your debts'!$F$10&lt;&gt;"",'Your debts'!$F$8&lt;&gt;"",'Your debts'!$F$10&lt;'Your debts'!$F$8),AB227,0)+IF(AND('Your debts'!$F$11&lt;&gt;"",'Your debts'!$F$8&lt;&gt;"",'Your debts'!$F$11&lt;'Your debts'!$F$8),AG227,0)+IF(AND('Your debts'!$F$12&lt;&gt;"",'Your debts'!$F$8&lt;&gt;"",'Your debts'!$F$12&lt;'Your debts'!$F$8),AL227,0)+IF(AND('Your debts'!$F$13&lt;&gt;"",'Your debts'!$F$8&lt;&gt;"",'Your debts'!$F$13&lt;'Your debts'!$F$8),AQ227,0)+IF(AND('Your debts'!$F$14&lt;&gt;"",'Your debts'!$F$8&lt;&gt;"",'Your debts'!$F$14&lt;'Your debts'!$F$8),AV227,0)+IF(AND('Your debts'!$F$15&lt;&gt;"",'Your debts'!$F$8&lt;&gt;"",'Your debts'!$F$15&lt;'Your debts'!$F$8),BA227,0)))))</f>
        <v/>
      </c>
      <c r="T227" s="33">
        <f>R227-S227</f>
        <v/>
      </c>
      <c r="U227" s="33">
        <f>IF(Y226&lt;=0,0,ROUND(Y226*(1+'Your debts'!$D$9/1200),2))</f>
        <v/>
      </c>
      <c r="V227" s="33">
        <f>IF(U227&lt;=0,0,MIN('Your debts'!$E$9,U227))</f>
        <v/>
      </c>
      <c r="W227" s="33">
        <f>U227-V227</f>
        <v/>
      </c>
      <c r="X227" s="33">
        <f>IF('Your debts'!$F$9="",0,MIN(W227,MAX(0,MAX(0,'Your debts'!$C$19-(G227+L227+Q227+V227+AA227+AF227+AK227+AP227+AU227+AZ227))-(IF(AND('Your debts'!$F$6&lt;&gt;"",'Your debts'!$F$9&lt;&gt;"",'Your debts'!$F$6&lt;'Your debts'!$F$9),H227,0)+IF(AND('Your debts'!$F$7&lt;&gt;"",'Your debts'!$F$9&lt;&gt;"",'Your debts'!$F$7&lt;'Your debts'!$F$9),M227,0)+IF(AND('Your debts'!$F$8&lt;&gt;"",'Your debts'!$F$9&lt;&gt;"",'Your debts'!$F$8&lt;'Your debts'!$F$9),R227,0)+IF(AND('Your debts'!$F$10&lt;&gt;"",'Your debts'!$F$9&lt;&gt;"",'Your debts'!$F$10&lt;'Your debts'!$F$9),AB227,0)+IF(AND('Your debts'!$F$11&lt;&gt;"",'Your debts'!$F$9&lt;&gt;"",'Your debts'!$F$11&lt;'Your debts'!$F$9),AG227,0)+IF(AND('Your debts'!$F$12&lt;&gt;"",'Your debts'!$F$9&lt;&gt;"",'Your debts'!$F$12&lt;'Your debts'!$F$9),AL227,0)+IF(AND('Your debts'!$F$13&lt;&gt;"",'Your debts'!$F$9&lt;&gt;"",'Your debts'!$F$13&lt;'Your debts'!$F$9),AQ227,0)+IF(AND('Your debts'!$F$14&lt;&gt;"",'Your debts'!$F$9&lt;&gt;"",'Your debts'!$F$14&lt;'Your debts'!$F$9),AV227,0)+IF(AND('Your debts'!$F$15&lt;&gt;"",'Your debts'!$F$9&lt;&gt;"",'Your debts'!$F$15&lt;'Your debts'!$F$9),BA227,0)))))</f>
        <v/>
      </c>
      <c r="Y227" s="33">
        <f>W227-X227</f>
        <v/>
      </c>
      <c r="Z227" s="33">
        <f>IF(AD226&lt;=0,0,ROUND(AD226*(1+'Your debts'!$D$10/1200),2))</f>
        <v/>
      </c>
      <c r="AA227" s="33">
        <f>IF(Z227&lt;=0,0,MIN('Your debts'!$E$10,Z227))</f>
        <v/>
      </c>
      <c r="AB227" s="33">
        <f>Z227-AA227</f>
        <v/>
      </c>
      <c r="AC227" s="33">
        <f>IF('Your debts'!$F$10="",0,MIN(AB227,MAX(0,MAX(0,'Your debts'!$C$19-(G227+L227+Q227+V227+AA227+AF227+AK227+AP227+AU227+AZ227))-(IF(AND('Your debts'!$F$6&lt;&gt;"",'Your debts'!$F$10&lt;&gt;"",'Your debts'!$F$6&lt;'Your debts'!$F$10),H227,0)+IF(AND('Your debts'!$F$7&lt;&gt;"",'Your debts'!$F$10&lt;&gt;"",'Your debts'!$F$7&lt;'Your debts'!$F$10),M227,0)+IF(AND('Your debts'!$F$8&lt;&gt;"",'Your debts'!$F$10&lt;&gt;"",'Your debts'!$F$8&lt;'Your debts'!$F$10),R227,0)+IF(AND('Your debts'!$F$9&lt;&gt;"",'Your debts'!$F$10&lt;&gt;"",'Your debts'!$F$9&lt;'Your debts'!$F$10),W227,0)+IF(AND('Your debts'!$F$11&lt;&gt;"",'Your debts'!$F$10&lt;&gt;"",'Your debts'!$F$11&lt;'Your debts'!$F$10),AG227,0)+IF(AND('Your debts'!$F$12&lt;&gt;"",'Your debts'!$F$10&lt;&gt;"",'Your debts'!$F$12&lt;'Your debts'!$F$10),AL227,0)+IF(AND('Your debts'!$F$13&lt;&gt;"",'Your debts'!$F$10&lt;&gt;"",'Your debts'!$F$13&lt;'Your debts'!$F$10),AQ227,0)+IF(AND('Your debts'!$F$14&lt;&gt;"",'Your debts'!$F$10&lt;&gt;"",'Your debts'!$F$14&lt;'Your debts'!$F$10),AV227,0)+IF(AND('Your debts'!$F$15&lt;&gt;"",'Your debts'!$F$10&lt;&gt;"",'Your debts'!$F$15&lt;'Your debts'!$F$10),BA227,0)))))</f>
        <v/>
      </c>
      <c r="AD227" s="33">
        <f>AB227-AC227</f>
        <v/>
      </c>
      <c r="AE227" s="33">
        <f>IF(AI226&lt;=0,0,ROUND(AI226*(1+'Your debts'!$D$11/1200),2))</f>
        <v/>
      </c>
      <c r="AF227" s="33">
        <f>IF(AE227&lt;=0,0,MIN('Your debts'!$E$11,AE227))</f>
        <v/>
      </c>
      <c r="AG227" s="33">
        <f>AE227-AF227</f>
        <v/>
      </c>
      <c r="AH227" s="33">
        <f>IF('Your debts'!$F$11="",0,MIN(AG227,MAX(0,MAX(0,'Your debts'!$C$19-(G227+L227+Q227+V227+AA227+AF227+AK227+AP227+AU227+AZ227))-(IF(AND('Your debts'!$F$6&lt;&gt;"",'Your debts'!$F$11&lt;&gt;"",'Your debts'!$F$6&lt;'Your debts'!$F$11),H227,0)+IF(AND('Your debts'!$F$7&lt;&gt;"",'Your debts'!$F$11&lt;&gt;"",'Your debts'!$F$7&lt;'Your debts'!$F$11),M227,0)+IF(AND('Your debts'!$F$8&lt;&gt;"",'Your debts'!$F$11&lt;&gt;"",'Your debts'!$F$8&lt;'Your debts'!$F$11),R227,0)+IF(AND('Your debts'!$F$9&lt;&gt;"",'Your debts'!$F$11&lt;&gt;"",'Your debts'!$F$9&lt;'Your debts'!$F$11),W227,0)+IF(AND('Your debts'!$F$10&lt;&gt;"",'Your debts'!$F$11&lt;&gt;"",'Your debts'!$F$10&lt;'Your debts'!$F$11),AB227,0)+IF(AND('Your debts'!$F$12&lt;&gt;"",'Your debts'!$F$11&lt;&gt;"",'Your debts'!$F$12&lt;'Your debts'!$F$11),AL227,0)+IF(AND('Your debts'!$F$13&lt;&gt;"",'Your debts'!$F$11&lt;&gt;"",'Your debts'!$F$13&lt;'Your debts'!$F$11),AQ227,0)+IF(AND('Your debts'!$F$14&lt;&gt;"",'Your debts'!$F$11&lt;&gt;"",'Your debts'!$F$14&lt;'Your debts'!$F$11),AV227,0)+IF(AND('Your debts'!$F$15&lt;&gt;"",'Your debts'!$F$11&lt;&gt;"",'Your debts'!$F$15&lt;'Your debts'!$F$11),BA227,0)))))</f>
        <v/>
      </c>
      <c r="AI227" s="33">
        <f>AG227-AH227</f>
        <v/>
      </c>
      <c r="AJ227" s="33">
        <f>IF(AN226&lt;=0,0,ROUND(AN226*(1+'Your debts'!$D$12/1200),2))</f>
        <v/>
      </c>
      <c r="AK227" s="33">
        <f>IF(AJ227&lt;=0,0,MIN('Your debts'!$E$12,AJ227))</f>
        <v/>
      </c>
      <c r="AL227" s="33">
        <f>AJ227-AK227</f>
        <v/>
      </c>
      <c r="AM227" s="33">
        <f>IF('Your debts'!$F$12="",0,MIN(AL227,MAX(0,MAX(0,'Your debts'!$C$19-(G227+L227+Q227+V227+AA227+AF227+AK227+AP227+AU227+AZ227))-(IF(AND('Your debts'!$F$6&lt;&gt;"",'Your debts'!$F$12&lt;&gt;"",'Your debts'!$F$6&lt;'Your debts'!$F$12),H227,0)+IF(AND('Your debts'!$F$7&lt;&gt;"",'Your debts'!$F$12&lt;&gt;"",'Your debts'!$F$7&lt;'Your debts'!$F$12),M227,0)+IF(AND('Your debts'!$F$8&lt;&gt;"",'Your debts'!$F$12&lt;&gt;"",'Your debts'!$F$8&lt;'Your debts'!$F$12),R227,0)+IF(AND('Your debts'!$F$9&lt;&gt;"",'Your debts'!$F$12&lt;&gt;"",'Your debts'!$F$9&lt;'Your debts'!$F$12),W227,0)+IF(AND('Your debts'!$F$10&lt;&gt;"",'Your debts'!$F$12&lt;&gt;"",'Your debts'!$F$10&lt;'Your debts'!$F$12),AB227,0)+IF(AND('Your debts'!$F$11&lt;&gt;"",'Your debts'!$F$12&lt;&gt;"",'Your debts'!$F$11&lt;'Your debts'!$F$12),AG227,0)+IF(AND('Your debts'!$F$13&lt;&gt;"",'Your debts'!$F$12&lt;&gt;"",'Your debts'!$F$13&lt;'Your debts'!$F$12),AQ227,0)+IF(AND('Your debts'!$F$14&lt;&gt;"",'Your debts'!$F$12&lt;&gt;"",'Your debts'!$F$14&lt;'Your debts'!$F$12),AV227,0)+IF(AND('Your debts'!$F$15&lt;&gt;"",'Your debts'!$F$12&lt;&gt;"",'Your debts'!$F$15&lt;'Your debts'!$F$12),BA227,0)))))</f>
        <v/>
      </c>
      <c r="AN227" s="33">
        <f>AL227-AM227</f>
        <v/>
      </c>
      <c r="AO227" s="33">
        <f>IF(AS226&lt;=0,0,ROUND(AS226*(1+'Your debts'!$D$13/1200),2))</f>
        <v/>
      </c>
      <c r="AP227" s="33">
        <f>IF(AO227&lt;=0,0,MIN('Your debts'!$E$13,AO227))</f>
        <v/>
      </c>
      <c r="AQ227" s="33">
        <f>AO227-AP227</f>
        <v/>
      </c>
      <c r="AR227" s="33">
        <f>IF('Your debts'!$F$13="",0,MIN(AQ227,MAX(0,MAX(0,'Your debts'!$C$19-(G227+L227+Q227+V227+AA227+AF227+AK227+AP227+AU227+AZ227))-(IF(AND('Your debts'!$F$6&lt;&gt;"",'Your debts'!$F$13&lt;&gt;"",'Your debts'!$F$6&lt;'Your debts'!$F$13),H227,0)+IF(AND('Your debts'!$F$7&lt;&gt;"",'Your debts'!$F$13&lt;&gt;"",'Your debts'!$F$7&lt;'Your debts'!$F$13),M227,0)+IF(AND('Your debts'!$F$8&lt;&gt;"",'Your debts'!$F$13&lt;&gt;"",'Your debts'!$F$8&lt;'Your debts'!$F$13),R227,0)+IF(AND('Your debts'!$F$9&lt;&gt;"",'Your debts'!$F$13&lt;&gt;"",'Your debts'!$F$9&lt;'Your debts'!$F$13),W227,0)+IF(AND('Your debts'!$F$10&lt;&gt;"",'Your debts'!$F$13&lt;&gt;"",'Your debts'!$F$10&lt;'Your debts'!$F$13),AB227,0)+IF(AND('Your debts'!$F$11&lt;&gt;"",'Your debts'!$F$13&lt;&gt;"",'Your debts'!$F$11&lt;'Your debts'!$F$13),AG227,0)+IF(AND('Your debts'!$F$12&lt;&gt;"",'Your debts'!$F$13&lt;&gt;"",'Your debts'!$F$12&lt;'Your debts'!$F$13),AL227,0)+IF(AND('Your debts'!$F$14&lt;&gt;"",'Your debts'!$F$13&lt;&gt;"",'Your debts'!$F$14&lt;'Your debts'!$F$13),AV227,0)+IF(AND('Your debts'!$F$15&lt;&gt;"",'Your debts'!$F$13&lt;&gt;"",'Your debts'!$F$15&lt;'Your debts'!$F$13),BA227,0)))))</f>
        <v/>
      </c>
      <c r="AS227" s="33">
        <f>AQ227-AR227</f>
        <v/>
      </c>
      <c r="AT227" s="33">
        <f>IF(AX226&lt;=0,0,ROUND(AX226*(1+'Your debts'!$D$14/1200),2))</f>
        <v/>
      </c>
      <c r="AU227" s="33">
        <f>IF(AT227&lt;=0,0,MIN('Your debts'!$E$14,AT227))</f>
        <v/>
      </c>
      <c r="AV227" s="33">
        <f>AT227-AU227</f>
        <v/>
      </c>
      <c r="AW227" s="33">
        <f>IF('Your debts'!$F$14="",0,MIN(AV227,MAX(0,MAX(0,'Your debts'!$C$19-(G227+L227+Q227+V227+AA227+AF227+AK227+AP227+AU227+AZ227))-(IF(AND('Your debts'!$F$6&lt;&gt;"",'Your debts'!$F$14&lt;&gt;"",'Your debts'!$F$6&lt;'Your debts'!$F$14),H227,0)+IF(AND('Your debts'!$F$7&lt;&gt;"",'Your debts'!$F$14&lt;&gt;"",'Your debts'!$F$7&lt;'Your debts'!$F$14),M227,0)+IF(AND('Your debts'!$F$8&lt;&gt;"",'Your debts'!$F$14&lt;&gt;"",'Your debts'!$F$8&lt;'Your debts'!$F$14),R227,0)+IF(AND('Your debts'!$F$9&lt;&gt;"",'Your debts'!$F$14&lt;&gt;"",'Your debts'!$F$9&lt;'Your debts'!$F$14),W227,0)+IF(AND('Your debts'!$F$10&lt;&gt;"",'Your debts'!$F$14&lt;&gt;"",'Your debts'!$F$10&lt;'Your debts'!$F$14),AB227,0)+IF(AND('Your debts'!$F$11&lt;&gt;"",'Your debts'!$F$14&lt;&gt;"",'Your debts'!$F$11&lt;'Your debts'!$F$14),AG227,0)+IF(AND('Your debts'!$F$12&lt;&gt;"",'Your debts'!$F$14&lt;&gt;"",'Your debts'!$F$12&lt;'Your debts'!$F$14),AL227,0)+IF(AND('Your debts'!$F$13&lt;&gt;"",'Your debts'!$F$14&lt;&gt;"",'Your debts'!$F$13&lt;'Your debts'!$F$14),AQ227,0)+IF(AND('Your debts'!$F$15&lt;&gt;"",'Your debts'!$F$14&lt;&gt;"",'Your debts'!$F$15&lt;'Your debts'!$F$14),BA227,0)))))</f>
        <v/>
      </c>
      <c r="AX227" s="33">
        <f>AV227-AW227</f>
        <v/>
      </c>
      <c r="AY227" s="33">
        <f>IF(BC226&lt;=0,0,ROUND(BC226*(1+'Your debts'!$D$15/1200),2))</f>
        <v/>
      </c>
      <c r="AZ227" s="33">
        <f>IF(AY227&lt;=0,0,MIN('Your debts'!$E$15,AY227))</f>
        <v/>
      </c>
      <c r="BA227" s="33">
        <f>AY227-AZ227</f>
        <v/>
      </c>
      <c r="BB227" s="33">
        <f>IF('Your debts'!$F$15="",0,MIN(BA227,MAX(0,MAX(0,'Your debts'!$C$19-(G227+L227+Q227+V227+AA227+AF227+AK227+AP227+AU227+AZ227))-(IF(AND('Your debts'!$F$6&lt;&gt;"",'Your debts'!$F$15&lt;&gt;"",'Your debts'!$F$6&lt;'Your debts'!$F$15),H227,0)+IF(AND('Your debts'!$F$7&lt;&gt;"",'Your debts'!$F$15&lt;&gt;"",'Your debts'!$F$7&lt;'Your debts'!$F$15),M227,0)+IF(AND('Your debts'!$F$8&lt;&gt;"",'Your debts'!$F$15&lt;&gt;"",'Your debts'!$F$8&lt;'Your debts'!$F$15),R227,0)+IF(AND('Your debts'!$F$9&lt;&gt;"",'Your debts'!$F$15&lt;&gt;"",'Your debts'!$F$9&lt;'Your debts'!$F$15),W227,0)+IF(AND('Your debts'!$F$10&lt;&gt;"",'Your debts'!$F$15&lt;&gt;"",'Your debts'!$F$10&lt;'Your debts'!$F$15),AB227,0)+IF(AND('Your debts'!$F$11&lt;&gt;"",'Your debts'!$F$15&lt;&gt;"",'Your debts'!$F$11&lt;'Your debts'!$F$15),AG227,0)+IF(AND('Your debts'!$F$12&lt;&gt;"",'Your debts'!$F$15&lt;&gt;"",'Your debts'!$F$12&lt;'Your debts'!$F$15),AL227,0)+IF(AND('Your debts'!$F$13&lt;&gt;"",'Your debts'!$F$15&lt;&gt;"",'Your debts'!$F$13&lt;'Your debts'!$F$15),AQ227,0)+IF(AND('Your debts'!$F$14&lt;&gt;"",'Your debts'!$F$15&lt;&gt;"",'Your debts'!$F$14&lt;'Your debts'!$F$15),AV227,0)))))</f>
        <v/>
      </c>
      <c r="BC227" s="33">
        <f>BA227-BB227</f>
        <v/>
      </c>
    </row>
    <row r="228">
      <c r="A228" s="30" t="n">
        <v>213</v>
      </c>
      <c r="B228" s="31">
        <f>EDATE($B$15,213)</f>
        <v/>
      </c>
      <c r="C228" s="32">
        <f>IF(J227&lt;=0,0,F228-J227)+IF(O227&lt;=0,0,K228-O227)+IF(T227&lt;=0,0,P228-T227)+IF(Y227&lt;=0,0,U228-Y227)+IF(AD227&lt;=0,0,Z228-AD227)+IF(AI227&lt;=0,0,AE228-AI227)+IF(AN227&lt;=0,0,AJ228-AN227)+IF(AS227&lt;=0,0,AO228-AS227)+IF(AX227&lt;=0,0,AT228-AX227)+IF(BC227&lt;=0,0,AY228-BC227)</f>
        <v/>
      </c>
      <c r="D228" s="32">
        <f>G228+I228+L228+N228+Q228+S228+V228+X228+AA228+AC228+AF228+AH228+AK228+AM228+AP228+AR228+AU228+AW228+AZ228+BB228</f>
        <v/>
      </c>
      <c r="E228" s="32">
        <f>J228+O228+T228+Y228+AD228+AI228+AN228+AS228+AX228+BC228</f>
        <v/>
      </c>
      <c r="F228" s="33">
        <f>IF(J227&lt;=0,0,ROUND(J227*(1+'Your debts'!$D$6/1200),2))</f>
        <v/>
      </c>
      <c r="G228" s="33">
        <f>IF(F228&lt;=0,0,MIN('Your debts'!$E$6,F228))</f>
        <v/>
      </c>
      <c r="H228" s="33">
        <f>F228-G228</f>
        <v/>
      </c>
      <c r="I228" s="33">
        <f>IF('Your debts'!$F$6="",0,MIN(H228,MAX(0,MAX(0,'Your debts'!$C$19-(G228+L228+Q228+V228+AA228+AF228+AK228+AP228+AU228+AZ228))-(IF(AND('Your debts'!$F$7&lt;&gt;"",'Your debts'!$F$6&lt;&gt;"",'Your debts'!$F$7&lt;'Your debts'!$F$6),M228,0)+IF(AND('Your debts'!$F$8&lt;&gt;"",'Your debts'!$F$6&lt;&gt;"",'Your debts'!$F$8&lt;'Your debts'!$F$6),R228,0)+IF(AND('Your debts'!$F$9&lt;&gt;"",'Your debts'!$F$6&lt;&gt;"",'Your debts'!$F$9&lt;'Your debts'!$F$6),W228,0)+IF(AND('Your debts'!$F$10&lt;&gt;"",'Your debts'!$F$6&lt;&gt;"",'Your debts'!$F$10&lt;'Your debts'!$F$6),AB228,0)+IF(AND('Your debts'!$F$11&lt;&gt;"",'Your debts'!$F$6&lt;&gt;"",'Your debts'!$F$11&lt;'Your debts'!$F$6),AG228,0)+IF(AND('Your debts'!$F$12&lt;&gt;"",'Your debts'!$F$6&lt;&gt;"",'Your debts'!$F$12&lt;'Your debts'!$F$6),AL228,0)+IF(AND('Your debts'!$F$13&lt;&gt;"",'Your debts'!$F$6&lt;&gt;"",'Your debts'!$F$13&lt;'Your debts'!$F$6),AQ228,0)+IF(AND('Your debts'!$F$14&lt;&gt;"",'Your debts'!$F$6&lt;&gt;"",'Your debts'!$F$14&lt;'Your debts'!$F$6),AV228,0)+IF(AND('Your debts'!$F$15&lt;&gt;"",'Your debts'!$F$6&lt;&gt;"",'Your debts'!$F$15&lt;'Your debts'!$F$6),BA228,0)))))</f>
        <v/>
      </c>
      <c r="J228" s="33">
        <f>H228-I228</f>
        <v/>
      </c>
      <c r="K228" s="33">
        <f>IF(O227&lt;=0,0,ROUND(O227*(1+'Your debts'!$D$7/1200),2))</f>
        <v/>
      </c>
      <c r="L228" s="33">
        <f>IF(K228&lt;=0,0,MIN('Your debts'!$E$7,K228))</f>
        <v/>
      </c>
      <c r="M228" s="33">
        <f>K228-L228</f>
        <v/>
      </c>
      <c r="N228" s="33">
        <f>IF('Your debts'!$F$7="",0,MIN(M228,MAX(0,MAX(0,'Your debts'!$C$19-(G228+L228+Q228+V228+AA228+AF228+AK228+AP228+AU228+AZ228))-(IF(AND('Your debts'!$F$6&lt;&gt;"",'Your debts'!$F$7&lt;&gt;"",'Your debts'!$F$6&lt;'Your debts'!$F$7),H228,0)+IF(AND('Your debts'!$F$8&lt;&gt;"",'Your debts'!$F$7&lt;&gt;"",'Your debts'!$F$8&lt;'Your debts'!$F$7),R228,0)+IF(AND('Your debts'!$F$9&lt;&gt;"",'Your debts'!$F$7&lt;&gt;"",'Your debts'!$F$9&lt;'Your debts'!$F$7),W228,0)+IF(AND('Your debts'!$F$10&lt;&gt;"",'Your debts'!$F$7&lt;&gt;"",'Your debts'!$F$10&lt;'Your debts'!$F$7),AB228,0)+IF(AND('Your debts'!$F$11&lt;&gt;"",'Your debts'!$F$7&lt;&gt;"",'Your debts'!$F$11&lt;'Your debts'!$F$7),AG228,0)+IF(AND('Your debts'!$F$12&lt;&gt;"",'Your debts'!$F$7&lt;&gt;"",'Your debts'!$F$12&lt;'Your debts'!$F$7),AL228,0)+IF(AND('Your debts'!$F$13&lt;&gt;"",'Your debts'!$F$7&lt;&gt;"",'Your debts'!$F$13&lt;'Your debts'!$F$7),AQ228,0)+IF(AND('Your debts'!$F$14&lt;&gt;"",'Your debts'!$F$7&lt;&gt;"",'Your debts'!$F$14&lt;'Your debts'!$F$7),AV228,0)+IF(AND('Your debts'!$F$15&lt;&gt;"",'Your debts'!$F$7&lt;&gt;"",'Your debts'!$F$15&lt;'Your debts'!$F$7),BA228,0)))))</f>
        <v/>
      </c>
      <c r="O228" s="33">
        <f>M228-N228</f>
        <v/>
      </c>
      <c r="P228" s="33">
        <f>IF(T227&lt;=0,0,ROUND(T227*(1+'Your debts'!$D$8/1200),2))</f>
        <v/>
      </c>
      <c r="Q228" s="33">
        <f>IF(P228&lt;=0,0,MIN('Your debts'!$E$8,P228))</f>
        <v/>
      </c>
      <c r="R228" s="33">
        <f>P228-Q228</f>
        <v/>
      </c>
      <c r="S228" s="33">
        <f>IF('Your debts'!$F$8="",0,MIN(R228,MAX(0,MAX(0,'Your debts'!$C$19-(G228+L228+Q228+V228+AA228+AF228+AK228+AP228+AU228+AZ228))-(IF(AND('Your debts'!$F$6&lt;&gt;"",'Your debts'!$F$8&lt;&gt;"",'Your debts'!$F$6&lt;'Your debts'!$F$8),H228,0)+IF(AND('Your debts'!$F$7&lt;&gt;"",'Your debts'!$F$8&lt;&gt;"",'Your debts'!$F$7&lt;'Your debts'!$F$8),M228,0)+IF(AND('Your debts'!$F$9&lt;&gt;"",'Your debts'!$F$8&lt;&gt;"",'Your debts'!$F$9&lt;'Your debts'!$F$8),W228,0)+IF(AND('Your debts'!$F$10&lt;&gt;"",'Your debts'!$F$8&lt;&gt;"",'Your debts'!$F$10&lt;'Your debts'!$F$8),AB228,0)+IF(AND('Your debts'!$F$11&lt;&gt;"",'Your debts'!$F$8&lt;&gt;"",'Your debts'!$F$11&lt;'Your debts'!$F$8),AG228,0)+IF(AND('Your debts'!$F$12&lt;&gt;"",'Your debts'!$F$8&lt;&gt;"",'Your debts'!$F$12&lt;'Your debts'!$F$8),AL228,0)+IF(AND('Your debts'!$F$13&lt;&gt;"",'Your debts'!$F$8&lt;&gt;"",'Your debts'!$F$13&lt;'Your debts'!$F$8),AQ228,0)+IF(AND('Your debts'!$F$14&lt;&gt;"",'Your debts'!$F$8&lt;&gt;"",'Your debts'!$F$14&lt;'Your debts'!$F$8),AV228,0)+IF(AND('Your debts'!$F$15&lt;&gt;"",'Your debts'!$F$8&lt;&gt;"",'Your debts'!$F$15&lt;'Your debts'!$F$8),BA228,0)))))</f>
        <v/>
      </c>
      <c r="T228" s="33">
        <f>R228-S228</f>
        <v/>
      </c>
      <c r="U228" s="33">
        <f>IF(Y227&lt;=0,0,ROUND(Y227*(1+'Your debts'!$D$9/1200),2))</f>
        <v/>
      </c>
      <c r="V228" s="33">
        <f>IF(U228&lt;=0,0,MIN('Your debts'!$E$9,U228))</f>
        <v/>
      </c>
      <c r="W228" s="33">
        <f>U228-V228</f>
        <v/>
      </c>
      <c r="X228" s="33">
        <f>IF('Your debts'!$F$9="",0,MIN(W228,MAX(0,MAX(0,'Your debts'!$C$19-(G228+L228+Q228+V228+AA228+AF228+AK228+AP228+AU228+AZ228))-(IF(AND('Your debts'!$F$6&lt;&gt;"",'Your debts'!$F$9&lt;&gt;"",'Your debts'!$F$6&lt;'Your debts'!$F$9),H228,0)+IF(AND('Your debts'!$F$7&lt;&gt;"",'Your debts'!$F$9&lt;&gt;"",'Your debts'!$F$7&lt;'Your debts'!$F$9),M228,0)+IF(AND('Your debts'!$F$8&lt;&gt;"",'Your debts'!$F$9&lt;&gt;"",'Your debts'!$F$8&lt;'Your debts'!$F$9),R228,0)+IF(AND('Your debts'!$F$10&lt;&gt;"",'Your debts'!$F$9&lt;&gt;"",'Your debts'!$F$10&lt;'Your debts'!$F$9),AB228,0)+IF(AND('Your debts'!$F$11&lt;&gt;"",'Your debts'!$F$9&lt;&gt;"",'Your debts'!$F$11&lt;'Your debts'!$F$9),AG228,0)+IF(AND('Your debts'!$F$12&lt;&gt;"",'Your debts'!$F$9&lt;&gt;"",'Your debts'!$F$12&lt;'Your debts'!$F$9),AL228,0)+IF(AND('Your debts'!$F$13&lt;&gt;"",'Your debts'!$F$9&lt;&gt;"",'Your debts'!$F$13&lt;'Your debts'!$F$9),AQ228,0)+IF(AND('Your debts'!$F$14&lt;&gt;"",'Your debts'!$F$9&lt;&gt;"",'Your debts'!$F$14&lt;'Your debts'!$F$9),AV228,0)+IF(AND('Your debts'!$F$15&lt;&gt;"",'Your debts'!$F$9&lt;&gt;"",'Your debts'!$F$15&lt;'Your debts'!$F$9),BA228,0)))))</f>
        <v/>
      </c>
      <c r="Y228" s="33">
        <f>W228-X228</f>
        <v/>
      </c>
      <c r="Z228" s="33">
        <f>IF(AD227&lt;=0,0,ROUND(AD227*(1+'Your debts'!$D$10/1200),2))</f>
        <v/>
      </c>
      <c r="AA228" s="33">
        <f>IF(Z228&lt;=0,0,MIN('Your debts'!$E$10,Z228))</f>
        <v/>
      </c>
      <c r="AB228" s="33">
        <f>Z228-AA228</f>
        <v/>
      </c>
      <c r="AC228" s="33">
        <f>IF('Your debts'!$F$10="",0,MIN(AB228,MAX(0,MAX(0,'Your debts'!$C$19-(G228+L228+Q228+V228+AA228+AF228+AK228+AP228+AU228+AZ228))-(IF(AND('Your debts'!$F$6&lt;&gt;"",'Your debts'!$F$10&lt;&gt;"",'Your debts'!$F$6&lt;'Your debts'!$F$10),H228,0)+IF(AND('Your debts'!$F$7&lt;&gt;"",'Your debts'!$F$10&lt;&gt;"",'Your debts'!$F$7&lt;'Your debts'!$F$10),M228,0)+IF(AND('Your debts'!$F$8&lt;&gt;"",'Your debts'!$F$10&lt;&gt;"",'Your debts'!$F$8&lt;'Your debts'!$F$10),R228,0)+IF(AND('Your debts'!$F$9&lt;&gt;"",'Your debts'!$F$10&lt;&gt;"",'Your debts'!$F$9&lt;'Your debts'!$F$10),W228,0)+IF(AND('Your debts'!$F$11&lt;&gt;"",'Your debts'!$F$10&lt;&gt;"",'Your debts'!$F$11&lt;'Your debts'!$F$10),AG228,0)+IF(AND('Your debts'!$F$12&lt;&gt;"",'Your debts'!$F$10&lt;&gt;"",'Your debts'!$F$12&lt;'Your debts'!$F$10),AL228,0)+IF(AND('Your debts'!$F$13&lt;&gt;"",'Your debts'!$F$10&lt;&gt;"",'Your debts'!$F$13&lt;'Your debts'!$F$10),AQ228,0)+IF(AND('Your debts'!$F$14&lt;&gt;"",'Your debts'!$F$10&lt;&gt;"",'Your debts'!$F$14&lt;'Your debts'!$F$10),AV228,0)+IF(AND('Your debts'!$F$15&lt;&gt;"",'Your debts'!$F$10&lt;&gt;"",'Your debts'!$F$15&lt;'Your debts'!$F$10),BA228,0)))))</f>
        <v/>
      </c>
      <c r="AD228" s="33">
        <f>AB228-AC228</f>
        <v/>
      </c>
      <c r="AE228" s="33">
        <f>IF(AI227&lt;=0,0,ROUND(AI227*(1+'Your debts'!$D$11/1200),2))</f>
        <v/>
      </c>
      <c r="AF228" s="33">
        <f>IF(AE228&lt;=0,0,MIN('Your debts'!$E$11,AE228))</f>
        <v/>
      </c>
      <c r="AG228" s="33">
        <f>AE228-AF228</f>
        <v/>
      </c>
      <c r="AH228" s="33">
        <f>IF('Your debts'!$F$11="",0,MIN(AG228,MAX(0,MAX(0,'Your debts'!$C$19-(G228+L228+Q228+V228+AA228+AF228+AK228+AP228+AU228+AZ228))-(IF(AND('Your debts'!$F$6&lt;&gt;"",'Your debts'!$F$11&lt;&gt;"",'Your debts'!$F$6&lt;'Your debts'!$F$11),H228,0)+IF(AND('Your debts'!$F$7&lt;&gt;"",'Your debts'!$F$11&lt;&gt;"",'Your debts'!$F$7&lt;'Your debts'!$F$11),M228,0)+IF(AND('Your debts'!$F$8&lt;&gt;"",'Your debts'!$F$11&lt;&gt;"",'Your debts'!$F$8&lt;'Your debts'!$F$11),R228,0)+IF(AND('Your debts'!$F$9&lt;&gt;"",'Your debts'!$F$11&lt;&gt;"",'Your debts'!$F$9&lt;'Your debts'!$F$11),W228,0)+IF(AND('Your debts'!$F$10&lt;&gt;"",'Your debts'!$F$11&lt;&gt;"",'Your debts'!$F$10&lt;'Your debts'!$F$11),AB228,0)+IF(AND('Your debts'!$F$12&lt;&gt;"",'Your debts'!$F$11&lt;&gt;"",'Your debts'!$F$12&lt;'Your debts'!$F$11),AL228,0)+IF(AND('Your debts'!$F$13&lt;&gt;"",'Your debts'!$F$11&lt;&gt;"",'Your debts'!$F$13&lt;'Your debts'!$F$11),AQ228,0)+IF(AND('Your debts'!$F$14&lt;&gt;"",'Your debts'!$F$11&lt;&gt;"",'Your debts'!$F$14&lt;'Your debts'!$F$11),AV228,0)+IF(AND('Your debts'!$F$15&lt;&gt;"",'Your debts'!$F$11&lt;&gt;"",'Your debts'!$F$15&lt;'Your debts'!$F$11),BA228,0)))))</f>
        <v/>
      </c>
      <c r="AI228" s="33">
        <f>AG228-AH228</f>
        <v/>
      </c>
      <c r="AJ228" s="33">
        <f>IF(AN227&lt;=0,0,ROUND(AN227*(1+'Your debts'!$D$12/1200),2))</f>
        <v/>
      </c>
      <c r="AK228" s="33">
        <f>IF(AJ228&lt;=0,0,MIN('Your debts'!$E$12,AJ228))</f>
        <v/>
      </c>
      <c r="AL228" s="33">
        <f>AJ228-AK228</f>
        <v/>
      </c>
      <c r="AM228" s="33">
        <f>IF('Your debts'!$F$12="",0,MIN(AL228,MAX(0,MAX(0,'Your debts'!$C$19-(G228+L228+Q228+V228+AA228+AF228+AK228+AP228+AU228+AZ228))-(IF(AND('Your debts'!$F$6&lt;&gt;"",'Your debts'!$F$12&lt;&gt;"",'Your debts'!$F$6&lt;'Your debts'!$F$12),H228,0)+IF(AND('Your debts'!$F$7&lt;&gt;"",'Your debts'!$F$12&lt;&gt;"",'Your debts'!$F$7&lt;'Your debts'!$F$12),M228,0)+IF(AND('Your debts'!$F$8&lt;&gt;"",'Your debts'!$F$12&lt;&gt;"",'Your debts'!$F$8&lt;'Your debts'!$F$12),R228,0)+IF(AND('Your debts'!$F$9&lt;&gt;"",'Your debts'!$F$12&lt;&gt;"",'Your debts'!$F$9&lt;'Your debts'!$F$12),W228,0)+IF(AND('Your debts'!$F$10&lt;&gt;"",'Your debts'!$F$12&lt;&gt;"",'Your debts'!$F$10&lt;'Your debts'!$F$12),AB228,0)+IF(AND('Your debts'!$F$11&lt;&gt;"",'Your debts'!$F$12&lt;&gt;"",'Your debts'!$F$11&lt;'Your debts'!$F$12),AG228,0)+IF(AND('Your debts'!$F$13&lt;&gt;"",'Your debts'!$F$12&lt;&gt;"",'Your debts'!$F$13&lt;'Your debts'!$F$12),AQ228,0)+IF(AND('Your debts'!$F$14&lt;&gt;"",'Your debts'!$F$12&lt;&gt;"",'Your debts'!$F$14&lt;'Your debts'!$F$12),AV228,0)+IF(AND('Your debts'!$F$15&lt;&gt;"",'Your debts'!$F$12&lt;&gt;"",'Your debts'!$F$15&lt;'Your debts'!$F$12),BA228,0)))))</f>
        <v/>
      </c>
      <c r="AN228" s="33">
        <f>AL228-AM228</f>
        <v/>
      </c>
      <c r="AO228" s="33">
        <f>IF(AS227&lt;=0,0,ROUND(AS227*(1+'Your debts'!$D$13/1200),2))</f>
        <v/>
      </c>
      <c r="AP228" s="33">
        <f>IF(AO228&lt;=0,0,MIN('Your debts'!$E$13,AO228))</f>
        <v/>
      </c>
      <c r="AQ228" s="33">
        <f>AO228-AP228</f>
        <v/>
      </c>
      <c r="AR228" s="33">
        <f>IF('Your debts'!$F$13="",0,MIN(AQ228,MAX(0,MAX(0,'Your debts'!$C$19-(G228+L228+Q228+V228+AA228+AF228+AK228+AP228+AU228+AZ228))-(IF(AND('Your debts'!$F$6&lt;&gt;"",'Your debts'!$F$13&lt;&gt;"",'Your debts'!$F$6&lt;'Your debts'!$F$13),H228,0)+IF(AND('Your debts'!$F$7&lt;&gt;"",'Your debts'!$F$13&lt;&gt;"",'Your debts'!$F$7&lt;'Your debts'!$F$13),M228,0)+IF(AND('Your debts'!$F$8&lt;&gt;"",'Your debts'!$F$13&lt;&gt;"",'Your debts'!$F$8&lt;'Your debts'!$F$13),R228,0)+IF(AND('Your debts'!$F$9&lt;&gt;"",'Your debts'!$F$13&lt;&gt;"",'Your debts'!$F$9&lt;'Your debts'!$F$13),W228,0)+IF(AND('Your debts'!$F$10&lt;&gt;"",'Your debts'!$F$13&lt;&gt;"",'Your debts'!$F$10&lt;'Your debts'!$F$13),AB228,0)+IF(AND('Your debts'!$F$11&lt;&gt;"",'Your debts'!$F$13&lt;&gt;"",'Your debts'!$F$11&lt;'Your debts'!$F$13),AG228,0)+IF(AND('Your debts'!$F$12&lt;&gt;"",'Your debts'!$F$13&lt;&gt;"",'Your debts'!$F$12&lt;'Your debts'!$F$13),AL228,0)+IF(AND('Your debts'!$F$14&lt;&gt;"",'Your debts'!$F$13&lt;&gt;"",'Your debts'!$F$14&lt;'Your debts'!$F$13),AV228,0)+IF(AND('Your debts'!$F$15&lt;&gt;"",'Your debts'!$F$13&lt;&gt;"",'Your debts'!$F$15&lt;'Your debts'!$F$13),BA228,0)))))</f>
        <v/>
      </c>
      <c r="AS228" s="33">
        <f>AQ228-AR228</f>
        <v/>
      </c>
      <c r="AT228" s="33">
        <f>IF(AX227&lt;=0,0,ROUND(AX227*(1+'Your debts'!$D$14/1200),2))</f>
        <v/>
      </c>
      <c r="AU228" s="33">
        <f>IF(AT228&lt;=0,0,MIN('Your debts'!$E$14,AT228))</f>
        <v/>
      </c>
      <c r="AV228" s="33">
        <f>AT228-AU228</f>
        <v/>
      </c>
      <c r="AW228" s="33">
        <f>IF('Your debts'!$F$14="",0,MIN(AV228,MAX(0,MAX(0,'Your debts'!$C$19-(G228+L228+Q228+V228+AA228+AF228+AK228+AP228+AU228+AZ228))-(IF(AND('Your debts'!$F$6&lt;&gt;"",'Your debts'!$F$14&lt;&gt;"",'Your debts'!$F$6&lt;'Your debts'!$F$14),H228,0)+IF(AND('Your debts'!$F$7&lt;&gt;"",'Your debts'!$F$14&lt;&gt;"",'Your debts'!$F$7&lt;'Your debts'!$F$14),M228,0)+IF(AND('Your debts'!$F$8&lt;&gt;"",'Your debts'!$F$14&lt;&gt;"",'Your debts'!$F$8&lt;'Your debts'!$F$14),R228,0)+IF(AND('Your debts'!$F$9&lt;&gt;"",'Your debts'!$F$14&lt;&gt;"",'Your debts'!$F$9&lt;'Your debts'!$F$14),W228,0)+IF(AND('Your debts'!$F$10&lt;&gt;"",'Your debts'!$F$14&lt;&gt;"",'Your debts'!$F$10&lt;'Your debts'!$F$14),AB228,0)+IF(AND('Your debts'!$F$11&lt;&gt;"",'Your debts'!$F$14&lt;&gt;"",'Your debts'!$F$11&lt;'Your debts'!$F$14),AG228,0)+IF(AND('Your debts'!$F$12&lt;&gt;"",'Your debts'!$F$14&lt;&gt;"",'Your debts'!$F$12&lt;'Your debts'!$F$14),AL228,0)+IF(AND('Your debts'!$F$13&lt;&gt;"",'Your debts'!$F$14&lt;&gt;"",'Your debts'!$F$13&lt;'Your debts'!$F$14),AQ228,0)+IF(AND('Your debts'!$F$15&lt;&gt;"",'Your debts'!$F$14&lt;&gt;"",'Your debts'!$F$15&lt;'Your debts'!$F$14),BA228,0)))))</f>
        <v/>
      </c>
      <c r="AX228" s="33">
        <f>AV228-AW228</f>
        <v/>
      </c>
      <c r="AY228" s="33">
        <f>IF(BC227&lt;=0,0,ROUND(BC227*(1+'Your debts'!$D$15/1200),2))</f>
        <v/>
      </c>
      <c r="AZ228" s="33">
        <f>IF(AY228&lt;=0,0,MIN('Your debts'!$E$15,AY228))</f>
        <v/>
      </c>
      <c r="BA228" s="33">
        <f>AY228-AZ228</f>
        <v/>
      </c>
      <c r="BB228" s="33">
        <f>IF('Your debts'!$F$15="",0,MIN(BA228,MAX(0,MAX(0,'Your debts'!$C$19-(G228+L228+Q228+V228+AA228+AF228+AK228+AP228+AU228+AZ228))-(IF(AND('Your debts'!$F$6&lt;&gt;"",'Your debts'!$F$15&lt;&gt;"",'Your debts'!$F$6&lt;'Your debts'!$F$15),H228,0)+IF(AND('Your debts'!$F$7&lt;&gt;"",'Your debts'!$F$15&lt;&gt;"",'Your debts'!$F$7&lt;'Your debts'!$F$15),M228,0)+IF(AND('Your debts'!$F$8&lt;&gt;"",'Your debts'!$F$15&lt;&gt;"",'Your debts'!$F$8&lt;'Your debts'!$F$15),R228,0)+IF(AND('Your debts'!$F$9&lt;&gt;"",'Your debts'!$F$15&lt;&gt;"",'Your debts'!$F$9&lt;'Your debts'!$F$15),W228,0)+IF(AND('Your debts'!$F$10&lt;&gt;"",'Your debts'!$F$15&lt;&gt;"",'Your debts'!$F$10&lt;'Your debts'!$F$15),AB228,0)+IF(AND('Your debts'!$F$11&lt;&gt;"",'Your debts'!$F$15&lt;&gt;"",'Your debts'!$F$11&lt;'Your debts'!$F$15),AG228,0)+IF(AND('Your debts'!$F$12&lt;&gt;"",'Your debts'!$F$15&lt;&gt;"",'Your debts'!$F$12&lt;'Your debts'!$F$15),AL228,0)+IF(AND('Your debts'!$F$13&lt;&gt;"",'Your debts'!$F$15&lt;&gt;"",'Your debts'!$F$13&lt;'Your debts'!$F$15),AQ228,0)+IF(AND('Your debts'!$F$14&lt;&gt;"",'Your debts'!$F$15&lt;&gt;"",'Your debts'!$F$14&lt;'Your debts'!$F$15),AV228,0)))))</f>
        <v/>
      </c>
      <c r="BC228" s="33">
        <f>BA228-BB228</f>
        <v/>
      </c>
    </row>
    <row r="229">
      <c r="A229" s="30" t="n">
        <v>214</v>
      </c>
      <c r="B229" s="31">
        <f>EDATE($B$15,214)</f>
        <v/>
      </c>
      <c r="C229" s="32">
        <f>IF(J228&lt;=0,0,F229-J228)+IF(O228&lt;=0,0,K229-O228)+IF(T228&lt;=0,0,P229-T228)+IF(Y228&lt;=0,0,U229-Y228)+IF(AD228&lt;=0,0,Z229-AD228)+IF(AI228&lt;=0,0,AE229-AI228)+IF(AN228&lt;=0,0,AJ229-AN228)+IF(AS228&lt;=0,0,AO229-AS228)+IF(AX228&lt;=0,0,AT229-AX228)+IF(BC228&lt;=0,0,AY229-BC228)</f>
        <v/>
      </c>
      <c r="D229" s="32">
        <f>G229+I229+L229+N229+Q229+S229+V229+X229+AA229+AC229+AF229+AH229+AK229+AM229+AP229+AR229+AU229+AW229+AZ229+BB229</f>
        <v/>
      </c>
      <c r="E229" s="32">
        <f>J229+O229+T229+Y229+AD229+AI229+AN229+AS229+AX229+BC229</f>
        <v/>
      </c>
      <c r="F229" s="33">
        <f>IF(J228&lt;=0,0,ROUND(J228*(1+'Your debts'!$D$6/1200),2))</f>
        <v/>
      </c>
      <c r="G229" s="33">
        <f>IF(F229&lt;=0,0,MIN('Your debts'!$E$6,F229))</f>
        <v/>
      </c>
      <c r="H229" s="33">
        <f>F229-G229</f>
        <v/>
      </c>
      <c r="I229" s="33">
        <f>IF('Your debts'!$F$6="",0,MIN(H229,MAX(0,MAX(0,'Your debts'!$C$19-(G229+L229+Q229+V229+AA229+AF229+AK229+AP229+AU229+AZ229))-(IF(AND('Your debts'!$F$7&lt;&gt;"",'Your debts'!$F$6&lt;&gt;"",'Your debts'!$F$7&lt;'Your debts'!$F$6),M229,0)+IF(AND('Your debts'!$F$8&lt;&gt;"",'Your debts'!$F$6&lt;&gt;"",'Your debts'!$F$8&lt;'Your debts'!$F$6),R229,0)+IF(AND('Your debts'!$F$9&lt;&gt;"",'Your debts'!$F$6&lt;&gt;"",'Your debts'!$F$9&lt;'Your debts'!$F$6),W229,0)+IF(AND('Your debts'!$F$10&lt;&gt;"",'Your debts'!$F$6&lt;&gt;"",'Your debts'!$F$10&lt;'Your debts'!$F$6),AB229,0)+IF(AND('Your debts'!$F$11&lt;&gt;"",'Your debts'!$F$6&lt;&gt;"",'Your debts'!$F$11&lt;'Your debts'!$F$6),AG229,0)+IF(AND('Your debts'!$F$12&lt;&gt;"",'Your debts'!$F$6&lt;&gt;"",'Your debts'!$F$12&lt;'Your debts'!$F$6),AL229,0)+IF(AND('Your debts'!$F$13&lt;&gt;"",'Your debts'!$F$6&lt;&gt;"",'Your debts'!$F$13&lt;'Your debts'!$F$6),AQ229,0)+IF(AND('Your debts'!$F$14&lt;&gt;"",'Your debts'!$F$6&lt;&gt;"",'Your debts'!$F$14&lt;'Your debts'!$F$6),AV229,0)+IF(AND('Your debts'!$F$15&lt;&gt;"",'Your debts'!$F$6&lt;&gt;"",'Your debts'!$F$15&lt;'Your debts'!$F$6),BA229,0)))))</f>
        <v/>
      </c>
      <c r="J229" s="33">
        <f>H229-I229</f>
        <v/>
      </c>
      <c r="K229" s="33">
        <f>IF(O228&lt;=0,0,ROUND(O228*(1+'Your debts'!$D$7/1200),2))</f>
        <v/>
      </c>
      <c r="L229" s="33">
        <f>IF(K229&lt;=0,0,MIN('Your debts'!$E$7,K229))</f>
        <v/>
      </c>
      <c r="M229" s="33">
        <f>K229-L229</f>
        <v/>
      </c>
      <c r="N229" s="33">
        <f>IF('Your debts'!$F$7="",0,MIN(M229,MAX(0,MAX(0,'Your debts'!$C$19-(G229+L229+Q229+V229+AA229+AF229+AK229+AP229+AU229+AZ229))-(IF(AND('Your debts'!$F$6&lt;&gt;"",'Your debts'!$F$7&lt;&gt;"",'Your debts'!$F$6&lt;'Your debts'!$F$7),H229,0)+IF(AND('Your debts'!$F$8&lt;&gt;"",'Your debts'!$F$7&lt;&gt;"",'Your debts'!$F$8&lt;'Your debts'!$F$7),R229,0)+IF(AND('Your debts'!$F$9&lt;&gt;"",'Your debts'!$F$7&lt;&gt;"",'Your debts'!$F$9&lt;'Your debts'!$F$7),W229,0)+IF(AND('Your debts'!$F$10&lt;&gt;"",'Your debts'!$F$7&lt;&gt;"",'Your debts'!$F$10&lt;'Your debts'!$F$7),AB229,0)+IF(AND('Your debts'!$F$11&lt;&gt;"",'Your debts'!$F$7&lt;&gt;"",'Your debts'!$F$11&lt;'Your debts'!$F$7),AG229,0)+IF(AND('Your debts'!$F$12&lt;&gt;"",'Your debts'!$F$7&lt;&gt;"",'Your debts'!$F$12&lt;'Your debts'!$F$7),AL229,0)+IF(AND('Your debts'!$F$13&lt;&gt;"",'Your debts'!$F$7&lt;&gt;"",'Your debts'!$F$13&lt;'Your debts'!$F$7),AQ229,0)+IF(AND('Your debts'!$F$14&lt;&gt;"",'Your debts'!$F$7&lt;&gt;"",'Your debts'!$F$14&lt;'Your debts'!$F$7),AV229,0)+IF(AND('Your debts'!$F$15&lt;&gt;"",'Your debts'!$F$7&lt;&gt;"",'Your debts'!$F$15&lt;'Your debts'!$F$7),BA229,0)))))</f>
        <v/>
      </c>
      <c r="O229" s="33">
        <f>M229-N229</f>
        <v/>
      </c>
      <c r="P229" s="33">
        <f>IF(T228&lt;=0,0,ROUND(T228*(1+'Your debts'!$D$8/1200),2))</f>
        <v/>
      </c>
      <c r="Q229" s="33">
        <f>IF(P229&lt;=0,0,MIN('Your debts'!$E$8,P229))</f>
        <v/>
      </c>
      <c r="R229" s="33">
        <f>P229-Q229</f>
        <v/>
      </c>
      <c r="S229" s="33">
        <f>IF('Your debts'!$F$8="",0,MIN(R229,MAX(0,MAX(0,'Your debts'!$C$19-(G229+L229+Q229+V229+AA229+AF229+AK229+AP229+AU229+AZ229))-(IF(AND('Your debts'!$F$6&lt;&gt;"",'Your debts'!$F$8&lt;&gt;"",'Your debts'!$F$6&lt;'Your debts'!$F$8),H229,0)+IF(AND('Your debts'!$F$7&lt;&gt;"",'Your debts'!$F$8&lt;&gt;"",'Your debts'!$F$7&lt;'Your debts'!$F$8),M229,0)+IF(AND('Your debts'!$F$9&lt;&gt;"",'Your debts'!$F$8&lt;&gt;"",'Your debts'!$F$9&lt;'Your debts'!$F$8),W229,0)+IF(AND('Your debts'!$F$10&lt;&gt;"",'Your debts'!$F$8&lt;&gt;"",'Your debts'!$F$10&lt;'Your debts'!$F$8),AB229,0)+IF(AND('Your debts'!$F$11&lt;&gt;"",'Your debts'!$F$8&lt;&gt;"",'Your debts'!$F$11&lt;'Your debts'!$F$8),AG229,0)+IF(AND('Your debts'!$F$12&lt;&gt;"",'Your debts'!$F$8&lt;&gt;"",'Your debts'!$F$12&lt;'Your debts'!$F$8),AL229,0)+IF(AND('Your debts'!$F$13&lt;&gt;"",'Your debts'!$F$8&lt;&gt;"",'Your debts'!$F$13&lt;'Your debts'!$F$8),AQ229,0)+IF(AND('Your debts'!$F$14&lt;&gt;"",'Your debts'!$F$8&lt;&gt;"",'Your debts'!$F$14&lt;'Your debts'!$F$8),AV229,0)+IF(AND('Your debts'!$F$15&lt;&gt;"",'Your debts'!$F$8&lt;&gt;"",'Your debts'!$F$15&lt;'Your debts'!$F$8),BA229,0)))))</f>
        <v/>
      </c>
      <c r="T229" s="33">
        <f>R229-S229</f>
        <v/>
      </c>
      <c r="U229" s="33">
        <f>IF(Y228&lt;=0,0,ROUND(Y228*(1+'Your debts'!$D$9/1200),2))</f>
        <v/>
      </c>
      <c r="V229" s="33">
        <f>IF(U229&lt;=0,0,MIN('Your debts'!$E$9,U229))</f>
        <v/>
      </c>
      <c r="W229" s="33">
        <f>U229-V229</f>
        <v/>
      </c>
      <c r="X229" s="33">
        <f>IF('Your debts'!$F$9="",0,MIN(W229,MAX(0,MAX(0,'Your debts'!$C$19-(G229+L229+Q229+V229+AA229+AF229+AK229+AP229+AU229+AZ229))-(IF(AND('Your debts'!$F$6&lt;&gt;"",'Your debts'!$F$9&lt;&gt;"",'Your debts'!$F$6&lt;'Your debts'!$F$9),H229,0)+IF(AND('Your debts'!$F$7&lt;&gt;"",'Your debts'!$F$9&lt;&gt;"",'Your debts'!$F$7&lt;'Your debts'!$F$9),M229,0)+IF(AND('Your debts'!$F$8&lt;&gt;"",'Your debts'!$F$9&lt;&gt;"",'Your debts'!$F$8&lt;'Your debts'!$F$9),R229,0)+IF(AND('Your debts'!$F$10&lt;&gt;"",'Your debts'!$F$9&lt;&gt;"",'Your debts'!$F$10&lt;'Your debts'!$F$9),AB229,0)+IF(AND('Your debts'!$F$11&lt;&gt;"",'Your debts'!$F$9&lt;&gt;"",'Your debts'!$F$11&lt;'Your debts'!$F$9),AG229,0)+IF(AND('Your debts'!$F$12&lt;&gt;"",'Your debts'!$F$9&lt;&gt;"",'Your debts'!$F$12&lt;'Your debts'!$F$9),AL229,0)+IF(AND('Your debts'!$F$13&lt;&gt;"",'Your debts'!$F$9&lt;&gt;"",'Your debts'!$F$13&lt;'Your debts'!$F$9),AQ229,0)+IF(AND('Your debts'!$F$14&lt;&gt;"",'Your debts'!$F$9&lt;&gt;"",'Your debts'!$F$14&lt;'Your debts'!$F$9),AV229,0)+IF(AND('Your debts'!$F$15&lt;&gt;"",'Your debts'!$F$9&lt;&gt;"",'Your debts'!$F$15&lt;'Your debts'!$F$9),BA229,0)))))</f>
        <v/>
      </c>
      <c r="Y229" s="33">
        <f>W229-X229</f>
        <v/>
      </c>
      <c r="Z229" s="33">
        <f>IF(AD228&lt;=0,0,ROUND(AD228*(1+'Your debts'!$D$10/1200),2))</f>
        <v/>
      </c>
      <c r="AA229" s="33">
        <f>IF(Z229&lt;=0,0,MIN('Your debts'!$E$10,Z229))</f>
        <v/>
      </c>
      <c r="AB229" s="33">
        <f>Z229-AA229</f>
        <v/>
      </c>
      <c r="AC229" s="33">
        <f>IF('Your debts'!$F$10="",0,MIN(AB229,MAX(0,MAX(0,'Your debts'!$C$19-(G229+L229+Q229+V229+AA229+AF229+AK229+AP229+AU229+AZ229))-(IF(AND('Your debts'!$F$6&lt;&gt;"",'Your debts'!$F$10&lt;&gt;"",'Your debts'!$F$6&lt;'Your debts'!$F$10),H229,0)+IF(AND('Your debts'!$F$7&lt;&gt;"",'Your debts'!$F$10&lt;&gt;"",'Your debts'!$F$7&lt;'Your debts'!$F$10),M229,0)+IF(AND('Your debts'!$F$8&lt;&gt;"",'Your debts'!$F$10&lt;&gt;"",'Your debts'!$F$8&lt;'Your debts'!$F$10),R229,0)+IF(AND('Your debts'!$F$9&lt;&gt;"",'Your debts'!$F$10&lt;&gt;"",'Your debts'!$F$9&lt;'Your debts'!$F$10),W229,0)+IF(AND('Your debts'!$F$11&lt;&gt;"",'Your debts'!$F$10&lt;&gt;"",'Your debts'!$F$11&lt;'Your debts'!$F$10),AG229,0)+IF(AND('Your debts'!$F$12&lt;&gt;"",'Your debts'!$F$10&lt;&gt;"",'Your debts'!$F$12&lt;'Your debts'!$F$10),AL229,0)+IF(AND('Your debts'!$F$13&lt;&gt;"",'Your debts'!$F$10&lt;&gt;"",'Your debts'!$F$13&lt;'Your debts'!$F$10),AQ229,0)+IF(AND('Your debts'!$F$14&lt;&gt;"",'Your debts'!$F$10&lt;&gt;"",'Your debts'!$F$14&lt;'Your debts'!$F$10),AV229,0)+IF(AND('Your debts'!$F$15&lt;&gt;"",'Your debts'!$F$10&lt;&gt;"",'Your debts'!$F$15&lt;'Your debts'!$F$10),BA229,0)))))</f>
        <v/>
      </c>
      <c r="AD229" s="33">
        <f>AB229-AC229</f>
        <v/>
      </c>
      <c r="AE229" s="33">
        <f>IF(AI228&lt;=0,0,ROUND(AI228*(1+'Your debts'!$D$11/1200),2))</f>
        <v/>
      </c>
      <c r="AF229" s="33">
        <f>IF(AE229&lt;=0,0,MIN('Your debts'!$E$11,AE229))</f>
        <v/>
      </c>
      <c r="AG229" s="33">
        <f>AE229-AF229</f>
        <v/>
      </c>
      <c r="AH229" s="33">
        <f>IF('Your debts'!$F$11="",0,MIN(AG229,MAX(0,MAX(0,'Your debts'!$C$19-(G229+L229+Q229+V229+AA229+AF229+AK229+AP229+AU229+AZ229))-(IF(AND('Your debts'!$F$6&lt;&gt;"",'Your debts'!$F$11&lt;&gt;"",'Your debts'!$F$6&lt;'Your debts'!$F$11),H229,0)+IF(AND('Your debts'!$F$7&lt;&gt;"",'Your debts'!$F$11&lt;&gt;"",'Your debts'!$F$7&lt;'Your debts'!$F$11),M229,0)+IF(AND('Your debts'!$F$8&lt;&gt;"",'Your debts'!$F$11&lt;&gt;"",'Your debts'!$F$8&lt;'Your debts'!$F$11),R229,0)+IF(AND('Your debts'!$F$9&lt;&gt;"",'Your debts'!$F$11&lt;&gt;"",'Your debts'!$F$9&lt;'Your debts'!$F$11),W229,0)+IF(AND('Your debts'!$F$10&lt;&gt;"",'Your debts'!$F$11&lt;&gt;"",'Your debts'!$F$10&lt;'Your debts'!$F$11),AB229,0)+IF(AND('Your debts'!$F$12&lt;&gt;"",'Your debts'!$F$11&lt;&gt;"",'Your debts'!$F$12&lt;'Your debts'!$F$11),AL229,0)+IF(AND('Your debts'!$F$13&lt;&gt;"",'Your debts'!$F$11&lt;&gt;"",'Your debts'!$F$13&lt;'Your debts'!$F$11),AQ229,0)+IF(AND('Your debts'!$F$14&lt;&gt;"",'Your debts'!$F$11&lt;&gt;"",'Your debts'!$F$14&lt;'Your debts'!$F$11),AV229,0)+IF(AND('Your debts'!$F$15&lt;&gt;"",'Your debts'!$F$11&lt;&gt;"",'Your debts'!$F$15&lt;'Your debts'!$F$11),BA229,0)))))</f>
        <v/>
      </c>
      <c r="AI229" s="33">
        <f>AG229-AH229</f>
        <v/>
      </c>
      <c r="AJ229" s="33">
        <f>IF(AN228&lt;=0,0,ROUND(AN228*(1+'Your debts'!$D$12/1200),2))</f>
        <v/>
      </c>
      <c r="AK229" s="33">
        <f>IF(AJ229&lt;=0,0,MIN('Your debts'!$E$12,AJ229))</f>
        <v/>
      </c>
      <c r="AL229" s="33">
        <f>AJ229-AK229</f>
        <v/>
      </c>
      <c r="AM229" s="33">
        <f>IF('Your debts'!$F$12="",0,MIN(AL229,MAX(0,MAX(0,'Your debts'!$C$19-(G229+L229+Q229+V229+AA229+AF229+AK229+AP229+AU229+AZ229))-(IF(AND('Your debts'!$F$6&lt;&gt;"",'Your debts'!$F$12&lt;&gt;"",'Your debts'!$F$6&lt;'Your debts'!$F$12),H229,0)+IF(AND('Your debts'!$F$7&lt;&gt;"",'Your debts'!$F$12&lt;&gt;"",'Your debts'!$F$7&lt;'Your debts'!$F$12),M229,0)+IF(AND('Your debts'!$F$8&lt;&gt;"",'Your debts'!$F$12&lt;&gt;"",'Your debts'!$F$8&lt;'Your debts'!$F$12),R229,0)+IF(AND('Your debts'!$F$9&lt;&gt;"",'Your debts'!$F$12&lt;&gt;"",'Your debts'!$F$9&lt;'Your debts'!$F$12),W229,0)+IF(AND('Your debts'!$F$10&lt;&gt;"",'Your debts'!$F$12&lt;&gt;"",'Your debts'!$F$10&lt;'Your debts'!$F$12),AB229,0)+IF(AND('Your debts'!$F$11&lt;&gt;"",'Your debts'!$F$12&lt;&gt;"",'Your debts'!$F$11&lt;'Your debts'!$F$12),AG229,0)+IF(AND('Your debts'!$F$13&lt;&gt;"",'Your debts'!$F$12&lt;&gt;"",'Your debts'!$F$13&lt;'Your debts'!$F$12),AQ229,0)+IF(AND('Your debts'!$F$14&lt;&gt;"",'Your debts'!$F$12&lt;&gt;"",'Your debts'!$F$14&lt;'Your debts'!$F$12),AV229,0)+IF(AND('Your debts'!$F$15&lt;&gt;"",'Your debts'!$F$12&lt;&gt;"",'Your debts'!$F$15&lt;'Your debts'!$F$12),BA229,0)))))</f>
        <v/>
      </c>
      <c r="AN229" s="33">
        <f>AL229-AM229</f>
        <v/>
      </c>
      <c r="AO229" s="33">
        <f>IF(AS228&lt;=0,0,ROUND(AS228*(1+'Your debts'!$D$13/1200),2))</f>
        <v/>
      </c>
      <c r="AP229" s="33">
        <f>IF(AO229&lt;=0,0,MIN('Your debts'!$E$13,AO229))</f>
        <v/>
      </c>
      <c r="AQ229" s="33">
        <f>AO229-AP229</f>
        <v/>
      </c>
      <c r="AR229" s="33">
        <f>IF('Your debts'!$F$13="",0,MIN(AQ229,MAX(0,MAX(0,'Your debts'!$C$19-(G229+L229+Q229+V229+AA229+AF229+AK229+AP229+AU229+AZ229))-(IF(AND('Your debts'!$F$6&lt;&gt;"",'Your debts'!$F$13&lt;&gt;"",'Your debts'!$F$6&lt;'Your debts'!$F$13),H229,0)+IF(AND('Your debts'!$F$7&lt;&gt;"",'Your debts'!$F$13&lt;&gt;"",'Your debts'!$F$7&lt;'Your debts'!$F$13),M229,0)+IF(AND('Your debts'!$F$8&lt;&gt;"",'Your debts'!$F$13&lt;&gt;"",'Your debts'!$F$8&lt;'Your debts'!$F$13),R229,0)+IF(AND('Your debts'!$F$9&lt;&gt;"",'Your debts'!$F$13&lt;&gt;"",'Your debts'!$F$9&lt;'Your debts'!$F$13),W229,0)+IF(AND('Your debts'!$F$10&lt;&gt;"",'Your debts'!$F$13&lt;&gt;"",'Your debts'!$F$10&lt;'Your debts'!$F$13),AB229,0)+IF(AND('Your debts'!$F$11&lt;&gt;"",'Your debts'!$F$13&lt;&gt;"",'Your debts'!$F$11&lt;'Your debts'!$F$13),AG229,0)+IF(AND('Your debts'!$F$12&lt;&gt;"",'Your debts'!$F$13&lt;&gt;"",'Your debts'!$F$12&lt;'Your debts'!$F$13),AL229,0)+IF(AND('Your debts'!$F$14&lt;&gt;"",'Your debts'!$F$13&lt;&gt;"",'Your debts'!$F$14&lt;'Your debts'!$F$13),AV229,0)+IF(AND('Your debts'!$F$15&lt;&gt;"",'Your debts'!$F$13&lt;&gt;"",'Your debts'!$F$15&lt;'Your debts'!$F$13),BA229,0)))))</f>
        <v/>
      </c>
      <c r="AS229" s="33">
        <f>AQ229-AR229</f>
        <v/>
      </c>
      <c r="AT229" s="33">
        <f>IF(AX228&lt;=0,0,ROUND(AX228*(1+'Your debts'!$D$14/1200),2))</f>
        <v/>
      </c>
      <c r="AU229" s="33">
        <f>IF(AT229&lt;=0,0,MIN('Your debts'!$E$14,AT229))</f>
        <v/>
      </c>
      <c r="AV229" s="33">
        <f>AT229-AU229</f>
        <v/>
      </c>
      <c r="AW229" s="33">
        <f>IF('Your debts'!$F$14="",0,MIN(AV229,MAX(0,MAX(0,'Your debts'!$C$19-(G229+L229+Q229+V229+AA229+AF229+AK229+AP229+AU229+AZ229))-(IF(AND('Your debts'!$F$6&lt;&gt;"",'Your debts'!$F$14&lt;&gt;"",'Your debts'!$F$6&lt;'Your debts'!$F$14),H229,0)+IF(AND('Your debts'!$F$7&lt;&gt;"",'Your debts'!$F$14&lt;&gt;"",'Your debts'!$F$7&lt;'Your debts'!$F$14),M229,0)+IF(AND('Your debts'!$F$8&lt;&gt;"",'Your debts'!$F$14&lt;&gt;"",'Your debts'!$F$8&lt;'Your debts'!$F$14),R229,0)+IF(AND('Your debts'!$F$9&lt;&gt;"",'Your debts'!$F$14&lt;&gt;"",'Your debts'!$F$9&lt;'Your debts'!$F$14),W229,0)+IF(AND('Your debts'!$F$10&lt;&gt;"",'Your debts'!$F$14&lt;&gt;"",'Your debts'!$F$10&lt;'Your debts'!$F$14),AB229,0)+IF(AND('Your debts'!$F$11&lt;&gt;"",'Your debts'!$F$14&lt;&gt;"",'Your debts'!$F$11&lt;'Your debts'!$F$14),AG229,0)+IF(AND('Your debts'!$F$12&lt;&gt;"",'Your debts'!$F$14&lt;&gt;"",'Your debts'!$F$12&lt;'Your debts'!$F$14),AL229,0)+IF(AND('Your debts'!$F$13&lt;&gt;"",'Your debts'!$F$14&lt;&gt;"",'Your debts'!$F$13&lt;'Your debts'!$F$14),AQ229,0)+IF(AND('Your debts'!$F$15&lt;&gt;"",'Your debts'!$F$14&lt;&gt;"",'Your debts'!$F$15&lt;'Your debts'!$F$14),BA229,0)))))</f>
        <v/>
      </c>
      <c r="AX229" s="33">
        <f>AV229-AW229</f>
        <v/>
      </c>
      <c r="AY229" s="33">
        <f>IF(BC228&lt;=0,0,ROUND(BC228*(1+'Your debts'!$D$15/1200),2))</f>
        <v/>
      </c>
      <c r="AZ229" s="33">
        <f>IF(AY229&lt;=0,0,MIN('Your debts'!$E$15,AY229))</f>
        <v/>
      </c>
      <c r="BA229" s="33">
        <f>AY229-AZ229</f>
        <v/>
      </c>
      <c r="BB229" s="33">
        <f>IF('Your debts'!$F$15="",0,MIN(BA229,MAX(0,MAX(0,'Your debts'!$C$19-(G229+L229+Q229+V229+AA229+AF229+AK229+AP229+AU229+AZ229))-(IF(AND('Your debts'!$F$6&lt;&gt;"",'Your debts'!$F$15&lt;&gt;"",'Your debts'!$F$6&lt;'Your debts'!$F$15),H229,0)+IF(AND('Your debts'!$F$7&lt;&gt;"",'Your debts'!$F$15&lt;&gt;"",'Your debts'!$F$7&lt;'Your debts'!$F$15),M229,0)+IF(AND('Your debts'!$F$8&lt;&gt;"",'Your debts'!$F$15&lt;&gt;"",'Your debts'!$F$8&lt;'Your debts'!$F$15),R229,0)+IF(AND('Your debts'!$F$9&lt;&gt;"",'Your debts'!$F$15&lt;&gt;"",'Your debts'!$F$9&lt;'Your debts'!$F$15),W229,0)+IF(AND('Your debts'!$F$10&lt;&gt;"",'Your debts'!$F$15&lt;&gt;"",'Your debts'!$F$10&lt;'Your debts'!$F$15),AB229,0)+IF(AND('Your debts'!$F$11&lt;&gt;"",'Your debts'!$F$15&lt;&gt;"",'Your debts'!$F$11&lt;'Your debts'!$F$15),AG229,0)+IF(AND('Your debts'!$F$12&lt;&gt;"",'Your debts'!$F$15&lt;&gt;"",'Your debts'!$F$12&lt;'Your debts'!$F$15),AL229,0)+IF(AND('Your debts'!$F$13&lt;&gt;"",'Your debts'!$F$15&lt;&gt;"",'Your debts'!$F$13&lt;'Your debts'!$F$15),AQ229,0)+IF(AND('Your debts'!$F$14&lt;&gt;"",'Your debts'!$F$15&lt;&gt;"",'Your debts'!$F$14&lt;'Your debts'!$F$15),AV229,0)))))</f>
        <v/>
      </c>
      <c r="BC229" s="33">
        <f>BA229-BB229</f>
        <v/>
      </c>
    </row>
    <row r="230">
      <c r="A230" s="30" t="n">
        <v>215</v>
      </c>
      <c r="B230" s="31">
        <f>EDATE($B$15,215)</f>
        <v/>
      </c>
      <c r="C230" s="32">
        <f>IF(J229&lt;=0,0,F230-J229)+IF(O229&lt;=0,0,K230-O229)+IF(T229&lt;=0,0,P230-T229)+IF(Y229&lt;=0,0,U230-Y229)+IF(AD229&lt;=0,0,Z230-AD229)+IF(AI229&lt;=0,0,AE230-AI229)+IF(AN229&lt;=0,0,AJ230-AN229)+IF(AS229&lt;=0,0,AO230-AS229)+IF(AX229&lt;=0,0,AT230-AX229)+IF(BC229&lt;=0,0,AY230-BC229)</f>
        <v/>
      </c>
      <c r="D230" s="32">
        <f>G230+I230+L230+N230+Q230+S230+V230+X230+AA230+AC230+AF230+AH230+AK230+AM230+AP230+AR230+AU230+AW230+AZ230+BB230</f>
        <v/>
      </c>
      <c r="E230" s="32">
        <f>J230+O230+T230+Y230+AD230+AI230+AN230+AS230+AX230+BC230</f>
        <v/>
      </c>
      <c r="F230" s="33">
        <f>IF(J229&lt;=0,0,ROUND(J229*(1+'Your debts'!$D$6/1200),2))</f>
        <v/>
      </c>
      <c r="G230" s="33">
        <f>IF(F230&lt;=0,0,MIN('Your debts'!$E$6,F230))</f>
        <v/>
      </c>
      <c r="H230" s="33">
        <f>F230-G230</f>
        <v/>
      </c>
      <c r="I230" s="33">
        <f>IF('Your debts'!$F$6="",0,MIN(H230,MAX(0,MAX(0,'Your debts'!$C$19-(G230+L230+Q230+V230+AA230+AF230+AK230+AP230+AU230+AZ230))-(IF(AND('Your debts'!$F$7&lt;&gt;"",'Your debts'!$F$6&lt;&gt;"",'Your debts'!$F$7&lt;'Your debts'!$F$6),M230,0)+IF(AND('Your debts'!$F$8&lt;&gt;"",'Your debts'!$F$6&lt;&gt;"",'Your debts'!$F$8&lt;'Your debts'!$F$6),R230,0)+IF(AND('Your debts'!$F$9&lt;&gt;"",'Your debts'!$F$6&lt;&gt;"",'Your debts'!$F$9&lt;'Your debts'!$F$6),W230,0)+IF(AND('Your debts'!$F$10&lt;&gt;"",'Your debts'!$F$6&lt;&gt;"",'Your debts'!$F$10&lt;'Your debts'!$F$6),AB230,0)+IF(AND('Your debts'!$F$11&lt;&gt;"",'Your debts'!$F$6&lt;&gt;"",'Your debts'!$F$11&lt;'Your debts'!$F$6),AG230,0)+IF(AND('Your debts'!$F$12&lt;&gt;"",'Your debts'!$F$6&lt;&gt;"",'Your debts'!$F$12&lt;'Your debts'!$F$6),AL230,0)+IF(AND('Your debts'!$F$13&lt;&gt;"",'Your debts'!$F$6&lt;&gt;"",'Your debts'!$F$13&lt;'Your debts'!$F$6),AQ230,0)+IF(AND('Your debts'!$F$14&lt;&gt;"",'Your debts'!$F$6&lt;&gt;"",'Your debts'!$F$14&lt;'Your debts'!$F$6),AV230,0)+IF(AND('Your debts'!$F$15&lt;&gt;"",'Your debts'!$F$6&lt;&gt;"",'Your debts'!$F$15&lt;'Your debts'!$F$6),BA230,0)))))</f>
        <v/>
      </c>
      <c r="J230" s="33">
        <f>H230-I230</f>
        <v/>
      </c>
      <c r="K230" s="33">
        <f>IF(O229&lt;=0,0,ROUND(O229*(1+'Your debts'!$D$7/1200),2))</f>
        <v/>
      </c>
      <c r="L230" s="33">
        <f>IF(K230&lt;=0,0,MIN('Your debts'!$E$7,K230))</f>
        <v/>
      </c>
      <c r="M230" s="33">
        <f>K230-L230</f>
        <v/>
      </c>
      <c r="N230" s="33">
        <f>IF('Your debts'!$F$7="",0,MIN(M230,MAX(0,MAX(0,'Your debts'!$C$19-(G230+L230+Q230+V230+AA230+AF230+AK230+AP230+AU230+AZ230))-(IF(AND('Your debts'!$F$6&lt;&gt;"",'Your debts'!$F$7&lt;&gt;"",'Your debts'!$F$6&lt;'Your debts'!$F$7),H230,0)+IF(AND('Your debts'!$F$8&lt;&gt;"",'Your debts'!$F$7&lt;&gt;"",'Your debts'!$F$8&lt;'Your debts'!$F$7),R230,0)+IF(AND('Your debts'!$F$9&lt;&gt;"",'Your debts'!$F$7&lt;&gt;"",'Your debts'!$F$9&lt;'Your debts'!$F$7),W230,0)+IF(AND('Your debts'!$F$10&lt;&gt;"",'Your debts'!$F$7&lt;&gt;"",'Your debts'!$F$10&lt;'Your debts'!$F$7),AB230,0)+IF(AND('Your debts'!$F$11&lt;&gt;"",'Your debts'!$F$7&lt;&gt;"",'Your debts'!$F$11&lt;'Your debts'!$F$7),AG230,0)+IF(AND('Your debts'!$F$12&lt;&gt;"",'Your debts'!$F$7&lt;&gt;"",'Your debts'!$F$12&lt;'Your debts'!$F$7),AL230,0)+IF(AND('Your debts'!$F$13&lt;&gt;"",'Your debts'!$F$7&lt;&gt;"",'Your debts'!$F$13&lt;'Your debts'!$F$7),AQ230,0)+IF(AND('Your debts'!$F$14&lt;&gt;"",'Your debts'!$F$7&lt;&gt;"",'Your debts'!$F$14&lt;'Your debts'!$F$7),AV230,0)+IF(AND('Your debts'!$F$15&lt;&gt;"",'Your debts'!$F$7&lt;&gt;"",'Your debts'!$F$15&lt;'Your debts'!$F$7),BA230,0)))))</f>
        <v/>
      </c>
      <c r="O230" s="33">
        <f>M230-N230</f>
        <v/>
      </c>
      <c r="P230" s="33">
        <f>IF(T229&lt;=0,0,ROUND(T229*(1+'Your debts'!$D$8/1200),2))</f>
        <v/>
      </c>
      <c r="Q230" s="33">
        <f>IF(P230&lt;=0,0,MIN('Your debts'!$E$8,P230))</f>
        <v/>
      </c>
      <c r="R230" s="33">
        <f>P230-Q230</f>
        <v/>
      </c>
      <c r="S230" s="33">
        <f>IF('Your debts'!$F$8="",0,MIN(R230,MAX(0,MAX(0,'Your debts'!$C$19-(G230+L230+Q230+V230+AA230+AF230+AK230+AP230+AU230+AZ230))-(IF(AND('Your debts'!$F$6&lt;&gt;"",'Your debts'!$F$8&lt;&gt;"",'Your debts'!$F$6&lt;'Your debts'!$F$8),H230,0)+IF(AND('Your debts'!$F$7&lt;&gt;"",'Your debts'!$F$8&lt;&gt;"",'Your debts'!$F$7&lt;'Your debts'!$F$8),M230,0)+IF(AND('Your debts'!$F$9&lt;&gt;"",'Your debts'!$F$8&lt;&gt;"",'Your debts'!$F$9&lt;'Your debts'!$F$8),W230,0)+IF(AND('Your debts'!$F$10&lt;&gt;"",'Your debts'!$F$8&lt;&gt;"",'Your debts'!$F$10&lt;'Your debts'!$F$8),AB230,0)+IF(AND('Your debts'!$F$11&lt;&gt;"",'Your debts'!$F$8&lt;&gt;"",'Your debts'!$F$11&lt;'Your debts'!$F$8),AG230,0)+IF(AND('Your debts'!$F$12&lt;&gt;"",'Your debts'!$F$8&lt;&gt;"",'Your debts'!$F$12&lt;'Your debts'!$F$8),AL230,0)+IF(AND('Your debts'!$F$13&lt;&gt;"",'Your debts'!$F$8&lt;&gt;"",'Your debts'!$F$13&lt;'Your debts'!$F$8),AQ230,0)+IF(AND('Your debts'!$F$14&lt;&gt;"",'Your debts'!$F$8&lt;&gt;"",'Your debts'!$F$14&lt;'Your debts'!$F$8),AV230,0)+IF(AND('Your debts'!$F$15&lt;&gt;"",'Your debts'!$F$8&lt;&gt;"",'Your debts'!$F$15&lt;'Your debts'!$F$8),BA230,0)))))</f>
        <v/>
      </c>
      <c r="T230" s="33">
        <f>R230-S230</f>
        <v/>
      </c>
      <c r="U230" s="33">
        <f>IF(Y229&lt;=0,0,ROUND(Y229*(1+'Your debts'!$D$9/1200),2))</f>
        <v/>
      </c>
      <c r="V230" s="33">
        <f>IF(U230&lt;=0,0,MIN('Your debts'!$E$9,U230))</f>
        <v/>
      </c>
      <c r="W230" s="33">
        <f>U230-V230</f>
        <v/>
      </c>
      <c r="X230" s="33">
        <f>IF('Your debts'!$F$9="",0,MIN(W230,MAX(0,MAX(0,'Your debts'!$C$19-(G230+L230+Q230+V230+AA230+AF230+AK230+AP230+AU230+AZ230))-(IF(AND('Your debts'!$F$6&lt;&gt;"",'Your debts'!$F$9&lt;&gt;"",'Your debts'!$F$6&lt;'Your debts'!$F$9),H230,0)+IF(AND('Your debts'!$F$7&lt;&gt;"",'Your debts'!$F$9&lt;&gt;"",'Your debts'!$F$7&lt;'Your debts'!$F$9),M230,0)+IF(AND('Your debts'!$F$8&lt;&gt;"",'Your debts'!$F$9&lt;&gt;"",'Your debts'!$F$8&lt;'Your debts'!$F$9),R230,0)+IF(AND('Your debts'!$F$10&lt;&gt;"",'Your debts'!$F$9&lt;&gt;"",'Your debts'!$F$10&lt;'Your debts'!$F$9),AB230,0)+IF(AND('Your debts'!$F$11&lt;&gt;"",'Your debts'!$F$9&lt;&gt;"",'Your debts'!$F$11&lt;'Your debts'!$F$9),AG230,0)+IF(AND('Your debts'!$F$12&lt;&gt;"",'Your debts'!$F$9&lt;&gt;"",'Your debts'!$F$12&lt;'Your debts'!$F$9),AL230,0)+IF(AND('Your debts'!$F$13&lt;&gt;"",'Your debts'!$F$9&lt;&gt;"",'Your debts'!$F$13&lt;'Your debts'!$F$9),AQ230,0)+IF(AND('Your debts'!$F$14&lt;&gt;"",'Your debts'!$F$9&lt;&gt;"",'Your debts'!$F$14&lt;'Your debts'!$F$9),AV230,0)+IF(AND('Your debts'!$F$15&lt;&gt;"",'Your debts'!$F$9&lt;&gt;"",'Your debts'!$F$15&lt;'Your debts'!$F$9),BA230,0)))))</f>
        <v/>
      </c>
      <c r="Y230" s="33">
        <f>W230-X230</f>
        <v/>
      </c>
      <c r="Z230" s="33">
        <f>IF(AD229&lt;=0,0,ROUND(AD229*(1+'Your debts'!$D$10/1200),2))</f>
        <v/>
      </c>
      <c r="AA230" s="33">
        <f>IF(Z230&lt;=0,0,MIN('Your debts'!$E$10,Z230))</f>
        <v/>
      </c>
      <c r="AB230" s="33">
        <f>Z230-AA230</f>
        <v/>
      </c>
      <c r="AC230" s="33">
        <f>IF('Your debts'!$F$10="",0,MIN(AB230,MAX(0,MAX(0,'Your debts'!$C$19-(G230+L230+Q230+V230+AA230+AF230+AK230+AP230+AU230+AZ230))-(IF(AND('Your debts'!$F$6&lt;&gt;"",'Your debts'!$F$10&lt;&gt;"",'Your debts'!$F$6&lt;'Your debts'!$F$10),H230,0)+IF(AND('Your debts'!$F$7&lt;&gt;"",'Your debts'!$F$10&lt;&gt;"",'Your debts'!$F$7&lt;'Your debts'!$F$10),M230,0)+IF(AND('Your debts'!$F$8&lt;&gt;"",'Your debts'!$F$10&lt;&gt;"",'Your debts'!$F$8&lt;'Your debts'!$F$10),R230,0)+IF(AND('Your debts'!$F$9&lt;&gt;"",'Your debts'!$F$10&lt;&gt;"",'Your debts'!$F$9&lt;'Your debts'!$F$10),W230,0)+IF(AND('Your debts'!$F$11&lt;&gt;"",'Your debts'!$F$10&lt;&gt;"",'Your debts'!$F$11&lt;'Your debts'!$F$10),AG230,0)+IF(AND('Your debts'!$F$12&lt;&gt;"",'Your debts'!$F$10&lt;&gt;"",'Your debts'!$F$12&lt;'Your debts'!$F$10),AL230,0)+IF(AND('Your debts'!$F$13&lt;&gt;"",'Your debts'!$F$10&lt;&gt;"",'Your debts'!$F$13&lt;'Your debts'!$F$10),AQ230,0)+IF(AND('Your debts'!$F$14&lt;&gt;"",'Your debts'!$F$10&lt;&gt;"",'Your debts'!$F$14&lt;'Your debts'!$F$10),AV230,0)+IF(AND('Your debts'!$F$15&lt;&gt;"",'Your debts'!$F$10&lt;&gt;"",'Your debts'!$F$15&lt;'Your debts'!$F$10),BA230,0)))))</f>
        <v/>
      </c>
      <c r="AD230" s="33">
        <f>AB230-AC230</f>
        <v/>
      </c>
      <c r="AE230" s="33">
        <f>IF(AI229&lt;=0,0,ROUND(AI229*(1+'Your debts'!$D$11/1200),2))</f>
        <v/>
      </c>
      <c r="AF230" s="33">
        <f>IF(AE230&lt;=0,0,MIN('Your debts'!$E$11,AE230))</f>
        <v/>
      </c>
      <c r="AG230" s="33">
        <f>AE230-AF230</f>
        <v/>
      </c>
      <c r="AH230" s="33">
        <f>IF('Your debts'!$F$11="",0,MIN(AG230,MAX(0,MAX(0,'Your debts'!$C$19-(G230+L230+Q230+V230+AA230+AF230+AK230+AP230+AU230+AZ230))-(IF(AND('Your debts'!$F$6&lt;&gt;"",'Your debts'!$F$11&lt;&gt;"",'Your debts'!$F$6&lt;'Your debts'!$F$11),H230,0)+IF(AND('Your debts'!$F$7&lt;&gt;"",'Your debts'!$F$11&lt;&gt;"",'Your debts'!$F$7&lt;'Your debts'!$F$11),M230,0)+IF(AND('Your debts'!$F$8&lt;&gt;"",'Your debts'!$F$11&lt;&gt;"",'Your debts'!$F$8&lt;'Your debts'!$F$11),R230,0)+IF(AND('Your debts'!$F$9&lt;&gt;"",'Your debts'!$F$11&lt;&gt;"",'Your debts'!$F$9&lt;'Your debts'!$F$11),W230,0)+IF(AND('Your debts'!$F$10&lt;&gt;"",'Your debts'!$F$11&lt;&gt;"",'Your debts'!$F$10&lt;'Your debts'!$F$11),AB230,0)+IF(AND('Your debts'!$F$12&lt;&gt;"",'Your debts'!$F$11&lt;&gt;"",'Your debts'!$F$12&lt;'Your debts'!$F$11),AL230,0)+IF(AND('Your debts'!$F$13&lt;&gt;"",'Your debts'!$F$11&lt;&gt;"",'Your debts'!$F$13&lt;'Your debts'!$F$11),AQ230,0)+IF(AND('Your debts'!$F$14&lt;&gt;"",'Your debts'!$F$11&lt;&gt;"",'Your debts'!$F$14&lt;'Your debts'!$F$11),AV230,0)+IF(AND('Your debts'!$F$15&lt;&gt;"",'Your debts'!$F$11&lt;&gt;"",'Your debts'!$F$15&lt;'Your debts'!$F$11),BA230,0)))))</f>
        <v/>
      </c>
      <c r="AI230" s="33">
        <f>AG230-AH230</f>
        <v/>
      </c>
      <c r="AJ230" s="33">
        <f>IF(AN229&lt;=0,0,ROUND(AN229*(1+'Your debts'!$D$12/1200),2))</f>
        <v/>
      </c>
      <c r="AK230" s="33">
        <f>IF(AJ230&lt;=0,0,MIN('Your debts'!$E$12,AJ230))</f>
        <v/>
      </c>
      <c r="AL230" s="33">
        <f>AJ230-AK230</f>
        <v/>
      </c>
      <c r="AM230" s="33">
        <f>IF('Your debts'!$F$12="",0,MIN(AL230,MAX(0,MAX(0,'Your debts'!$C$19-(G230+L230+Q230+V230+AA230+AF230+AK230+AP230+AU230+AZ230))-(IF(AND('Your debts'!$F$6&lt;&gt;"",'Your debts'!$F$12&lt;&gt;"",'Your debts'!$F$6&lt;'Your debts'!$F$12),H230,0)+IF(AND('Your debts'!$F$7&lt;&gt;"",'Your debts'!$F$12&lt;&gt;"",'Your debts'!$F$7&lt;'Your debts'!$F$12),M230,0)+IF(AND('Your debts'!$F$8&lt;&gt;"",'Your debts'!$F$12&lt;&gt;"",'Your debts'!$F$8&lt;'Your debts'!$F$12),R230,0)+IF(AND('Your debts'!$F$9&lt;&gt;"",'Your debts'!$F$12&lt;&gt;"",'Your debts'!$F$9&lt;'Your debts'!$F$12),W230,0)+IF(AND('Your debts'!$F$10&lt;&gt;"",'Your debts'!$F$12&lt;&gt;"",'Your debts'!$F$10&lt;'Your debts'!$F$12),AB230,0)+IF(AND('Your debts'!$F$11&lt;&gt;"",'Your debts'!$F$12&lt;&gt;"",'Your debts'!$F$11&lt;'Your debts'!$F$12),AG230,0)+IF(AND('Your debts'!$F$13&lt;&gt;"",'Your debts'!$F$12&lt;&gt;"",'Your debts'!$F$13&lt;'Your debts'!$F$12),AQ230,0)+IF(AND('Your debts'!$F$14&lt;&gt;"",'Your debts'!$F$12&lt;&gt;"",'Your debts'!$F$14&lt;'Your debts'!$F$12),AV230,0)+IF(AND('Your debts'!$F$15&lt;&gt;"",'Your debts'!$F$12&lt;&gt;"",'Your debts'!$F$15&lt;'Your debts'!$F$12),BA230,0)))))</f>
        <v/>
      </c>
      <c r="AN230" s="33">
        <f>AL230-AM230</f>
        <v/>
      </c>
      <c r="AO230" s="33">
        <f>IF(AS229&lt;=0,0,ROUND(AS229*(1+'Your debts'!$D$13/1200),2))</f>
        <v/>
      </c>
      <c r="AP230" s="33">
        <f>IF(AO230&lt;=0,0,MIN('Your debts'!$E$13,AO230))</f>
        <v/>
      </c>
      <c r="AQ230" s="33">
        <f>AO230-AP230</f>
        <v/>
      </c>
      <c r="AR230" s="33">
        <f>IF('Your debts'!$F$13="",0,MIN(AQ230,MAX(0,MAX(0,'Your debts'!$C$19-(G230+L230+Q230+V230+AA230+AF230+AK230+AP230+AU230+AZ230))-(IF(AND('Your debts'!$F$6&lt;&gt;"",'Your debts'!$F$13&lt;&gt;"",'Your debts'!$F$6&lt;'Your debts'!$F$13),H230,0)+IF(AND('Your debts'!$F$7&lt;&gt;"",'Your debts'!$F$13&lt;&gt;"",'Your debts'!$F$7&lt;'Your debts'!$F$13),M230,0)+IF(AND('Your debts'!$F$8&lt;&gt;"",'Your debts'!$F$13&lt;&gt;"",'Your debts'!$F$8&lt;'Your debts'!$F$13),R230,0)+IF(AND('Your debts'!$F$9&lt;&gt;"",'Your debts'!$F$13&lt;&gt;"",'Your debts'!$F$9&lt;'Your debts'!$F$13),W230,0)+IF(AND('Your debts'!$F$10&lt;&gt;"",'Your debts'!$F$13&lt;&gt;"",'Your debts'!$F$10&lt;'Your debts'!$F$13),AB230,0)+IF(AND('Your debts'!$F$11&lt;&gt;"",'Your debts'!$F$13&lt;&gt;"",'Your debts'!$F$11&lt;'Your debts'!$F$13),AG230,0)+IF(AND('Your debts'!$F$12&lt;&gt;"",'Your debts'!$F$13&lt;&gt;"",'Your debts'!$F$12&lt;'Your debts'!$F$13),AL230,0)+IF(AND('Your debts'!$F$14&lt;&gt;"",'Your debts'!$F$13&lt;&gt;"",'Your debts'!$F$14&lt;'Your debts'!$F$13),AV230,0)+IF(AND('Your debts'!$F$15&lt;&gt;"",'Your debts'!$F$13&lt;&gt;"",'Your debts'!$F$15&lt;'Your debts'!$F$13),BA230,0)))))</f>
        <v/>
      </c>
      <c r="AS230" s="33">
        <f>AQ230-AR230</f>
        <v/>
      </c>
      <c r="AT230" s="33">
        <f>IF(AX229&lt;=0,0,ROUND(AX229*(1+'Your debts'!$D$14/1200),2))</f>
        <v/>
      </c>
      <c r="AU230" s="33">
        <f>IF(AT230&lt;=0,0,MIN('Your debts'!$E$14,AT230))</f>
        <v/>
      </c>
      <c r="AV230" s="33">
        <f>AT230-AU230</f>
        <v/>
      </c>
      <c r="AW230" s="33">
        <f>IF('Your debts'!$F$14="",0,MIN(AV230,MAX(0,MAX(0,'Your debts'!$C$19-(G230+L230+Q230+V230+AA230+AF230+AK230+AP230+AU230+AZ230))-(IF(AND('Your debts'!$F$6&lt;&gt;"",'Your debts'!$F$14&lt;&gt;"",'Your debts'!$F$6&lt;'Your debts'!$F$14),H230,0)+IF(AND('Your debts'!$F$7&lt;&gt;"",'Your debts'!$F$14&lt;&gt;"",'Your debts'!$F$7&lt;'Your debts'!$F$14),M230,0)+IF(AND('Your debts'!$F$8&lt;&gt;"",'Your debts'!$F$14&lt;&gt;"",'Your debts'!$F$8&lt;'Your debts'!$F$14),R230,0)+IF(AND('Your debts'!$F$9&lt;&gt;"",'Your debts'!$F$14&lt;&gt;"",'Your debts'!$F$9&lt;'Your debts'!$F$14),W230,0)+IF(AND('Your debts'!$F$10&lt;&gt;"",'Your debts'!$F$14&lt;&gt;"",'Your debts'!$F$10&lt;'Your debts'!$F$14),AB230,0)+IF(AND('Your debts'!$F$11&lt;&gt;"",'Your debts'!$F$14&lt;&gt;"",'Your debts'!$F$11&lt;'Your debts'!$F$14),AG230,0)+IF(AND('Your debts'!$F$12&lt;&gt;"",'Your debts'!$F$14&lt;&gt;"",'Your debts'!$F$12&lt;'Your debts'!$F$14),AL230,0)+IF(AND('Your debts'!$F$13&lt;&gt;"",'Your debts'!$F$14&lt;&gt;"",'Your debts'!$F$13&lt;'Your debts'!$F$14),AQ230,0)+IF(AND('Your debts'!$F$15&lt;&gt;"",'Your debts'!$F$14&lt;&gt;"",'Your debts'!$F$15&lt;'Your debts'!$F$14),BA230,0)))))</f>
        <v/>
      </c>
      <c r="AX230" s="33">
        <f>AV230-AW230</f>
        <v/>
      </c>
      <c r="AY230" s="33">
        <f>IF(BC229&lt;=0,0,ROUND(BC229*(1+'Your debts'!$D$15/1200),2))</f>
        <v/>
      </c>
      <c r="AZ230" s="33">
        <f>IF(AY230&lt;=0,0,MIN('Your debts'!$E$15,AY230))</f>
        <v/>
      </c>
      <c r="BA230" s="33">
        <f>AY230-AZ230</f>
        <v/>
      </c>
      <c r="BB230" s="33">
        <f>IF('Your debts'!$F$15="",0,MIN(BA230,MAX(0,MAX(0,'Your debts'!$C$19-(G230+L230+Q230+V230+AA230+AF230+AK230+AP230+AU230+AZ230))-(IF(AND('Your debts'!$F$6&lt;&gt;"",'Your debts'!$F$15&lt;&gt;"",'Your debts'!$F$6&lt;'Your debts'!$F$15),H230,0)+IF(AND('Your debts'!$F$7&lt;&gt;"",'Your debts'!$F$15&lt;&gt;"",'Your debts'!$F$7&lt;'Your debts'!$F$15),M230,0)+IF(AND('Your debts'!$F$8&lt;&gt;"",'Your debts'!$F$15&lt;&gt;"",'Your debts'!$F$8&lt;'Your debts'!$F$15),R230,0)+IF(AND('Your debts'!$F$9&lt;&gt;"",'Your debts'!$F$15&lt;&gt;"",'Your debts'!$F$9&lt;'Your debts'!$F$15),W230,0)+IF(AND('Your debts'!$F$10&lt;&gt;"",'Your debts'!$F$15&lt;&gt;"",'Your debts'!$F$10&lt;'Your debts'!$F$15),AB230,0)+IF(AND('Your debts'!$F$11&lt;&gt;"",'Your debts'!$F$15&lt;&gt;"",'Your debts'!$F$11&lt;'Your debts'!$F$15),AG230,0)+IF(AND('Your debts'!$F$12&lt;&gt;"",'Your debts'!$F$15&lt;&gt;"",'Your debts'!$F$12&lt;'Your debts'!$F$15),AL230,0)+IF(AND('Your debts'!$F$13&lt;&gt;"",'Your debts'!$F$15&lt;&gt;"",'Your debts'!$F$13&lt;'Your debts'!$F$15),AQ230,0)+IF(AND('Your debts'!$F$14&lt;&gt;"",'Your debts'!$F$15&lt;&gt;"",'Your debts'!$F$14&lt;'Your debts'!$F$15),AV230,0)))))</f>
        <v/>
      </c>
      <c r="BC230" s="33">
        <f>BA230-BB230</f>
        <v/>
      </c>
    </row>
    <row r="231">
      <c r="A231" s="30" t="n">
        <v>216</v>
      </c>
      <c r="B231" s="31">
        <f>EDATE($B$15,216)</f>
        <v/>
      </c>
      <c r="C231" s="32">
        <f>IF(J230&lt;=0,0,F231-J230)+IF(O230&lt;=0,0,K231-O230)+IF(T230&lt;=0,0,P231-T230)+IF(Y230&lt;=0,0,U231-Y230)+IF(AD230&lt;=0,0,Z231-AD230)+IF(AI230&lt;=0,0,AE231-AI230)+IF(AN230&lt;=0,0,AJ231-AN230)+IF(AS230&lt;=0,0,AO231-AS230)+IF(AX230&lt;=0,0,AT231-AX230)+IF(BC230&lt;=0,0,AY231-BC230)</f>
        <v/>
      </c>
      <c r="D231" s="32">
        <f>G231+I231+L231+N231+Q231+S231+V231+X231+AA231+AC231+AF231+AH231+AK231+AM231+AP231+AR231+AU231+AW231+AZ231+BB231</f>
        <v/>
      </c>
      <c r="E231" s="32">
        <f>J231+O231+T231+Y231+AD231+AI231+AN231+AS231+AX231+BC231</f>
        <v/>
      </c>
      <c r="F231" s="33">
        <f>IF(J230&lt;=0,0,ROUND(J230*(1+'Your debts'!$D$6/1200),2))</f>
        <v/>
      </c>
      <c r="G231" s="33">
        <f>IF(F231&lt;=0,0,MIN('Your debts'!$E$6,F231))</f>
        <v/>
      </c>
      <c r="H231" s="33">
        <f>F231-G231</f>
        <v/>
      </c>
      <c r="I231" s="33">
        <f>IF('Your debts'!$F$6="",0,MIN(H231,MAX(0,MAX(0,'Your debts'!$C$19-(G231+L231+Q231+V231+AA231+AF231+AK231+AP231+AU231+AZ231))-(IF(AND('Your debts'!$F$7&lt;&gt;"",'Your debts'!$F$6&lt;&gt;"",'Your debts'!$F$7&lt;'Your debts'!$F$6),M231,0)+IF(AND('Your debts'!$F$8&lt;&gt;"",'Your debts'!$F$6&lt;&gt;"",'Your debts'!$F$8&lt;'Your debts'!$F$6),R231,0)+IF(AND('Your debts'!$F$9&lt;&gt;"",'Your debts'!$F$6&lt;&gt;"",'Your debts'!$F$9&lt;'Your debts'!$F$6),W231,0)+IF(AND('Your debts'!$F$10&lt;&gt;"",'Your debts'!$F$6&lt;&gt;"",'Your debts'!$F$10&lt;'Your debts'!$F$6),AB231,0)+IF(AND('Your debts'!$F$11&lt;&gt;"",'Your debts'!$F$6&lt;&gt;"",'Your debts'!$F$11&lt;'Your debts'!$F$6),AG231,0)+IF(AND('Your debts'!$F$12&lt;&gt;"",'Your debts'!$F$6&lt;&gt;"",'Your debts'!$F$12&lt;'Your debts'!$F$6),AL231,0)+IF(AND('Your debts'!$F$13&lt;&gt;"",'Your debts'!$F$6&lt;&gt;"",'Your debts'!$F$13&lt;'Your debts'!$F$6),AQ231,0)+IF(AND('Your debts'!$F$14&lt;&gt;"",'Your debts'!$F$6&lt;&gt;"",'Your debts'!$F$14&lt;'Your debts'!$F$6),AV231,0)+IF(AND('Your debts'!$F$15&lt;&gt;"",'Your debts'!$F$6&lt;&gt;"",'Your debts'!$F$15&lt;'Your debts'!$F$6),BA231,0)))))</f>
        <v/>
      </c>
      <c r="J231" s="33">
        <f>H231-I231</f>
        <v/>
      </c>
      <c r="K231" s="33">
        <f>IF(O230&lt;=0,0,ROUND(O230*(1+'Your debts'!$D$7/1200),2))</f>
        <v/>
      </c>
      <c r="L231" s="33">
        <f>IF(K231&lt;=0,0,MIN('Your debts'!$E$7,K231))</f>
        <v/>
      </c>
      <c r="M231" s="33">
        <f>K231-L231</f>
        <v/>
      </c>
      <c r="N231" s="33">
        <f>IF('Your debts'!$F$7="",0,MIN(M231,MAX(0,MAX(0,'Your debts'!$C$19-(G231+L231+Q231+V231+AA231+AF231+AK231+AP231+AU231+AZ231))-(IF(AND('Your debts'!$F$6&lt;&gt;"",'Your debts'!$F$7&lt;&gt;"",'Your debts'!$F$6&lt;'Your debts'!$F$7),H231,0)+IF(AND('Your debts'!$F$8&lt;&gt;"",'Your debts'!$F$7&lt;&gt;"",'Your debts'!$F$8&lt;'Your debts'!$F$7),R231,0)+IF(AND('Your debts'!$F$9&lt;&gt;"",'Your debts'!$F$7&lt;&gt;"",'Your debts'!$F$9&lt;'Your debts'!$F$7),W231,0)+IF(AND('Your debts'!$F$10&lt;&gt;"",'Your debts'!$F$7&lt;&gt;"",'Your debts'!$F$10&lt;'Your debts'!$F$7),AB231,0)+IF(AND('Your debts'!$F$11&lt;&gt;"",'Your debts'!$F$7&lt;&gt;"",'Your debts'!$F$11&lt;'Your debts'!$F$7),AG231,0)+IF(AND('Your debts'!$F$12&lt;&gt;"",'Your debts'!$F$7&lt;&gt;"",'Your debts'!$F$12&lt;'Your debts'!$F$7),AL231,0)+IF(AND('Your debts'!$F$13&lt;&gt;"",'Your debts'!$F$7&lt;&gt;"",'Your debts'!$F$13&lt;'Your debts'!$F$7),AQ231,0)+IF(AND('Your debts'!$F$14&lt;&gt;"",'Your debts'!$F$7&lt;&gt;"",'Your debts'!$F$14&lt;'Your debts'!$F$7),AV231,0)+IF(AND('Your debts'!$F$15&lt;&gt;"",'Your debts'!$F$7&lt;&gt;"",'Your debts'!$F$15&lt;'Your debts'!$F$7),BA231,0)))))</f>
        <v/>
      </c>
      <c r="O231" s="33">
        <f>M231-N231</f>
        <v/>
      </c>
      <c r="P231" s="33">
        <f>IF(T230&lt;=0,0,ROUND(T230*(1+'Your debts'!$D$8/1200),2))</f>
        <v/>
      </c>
      <c r="Q231" s="33">
        <f>IF(P231&lt;=0,0,MIN('Your debts'!$E$8,P231))</f>
        <v/>
      </c>
      <c r="R231" s="33">
        <f>P231-Q231</f>
        <v/>
      </c>
      <c r="S231" s="33">
        <f>IF('Your debts'!$F$8="",0,MIN(R231,MAX(0,MAX(0,'Your debts'!$C$19-(G231+L231+Q231+V231+AA231+AF231+AK231+AP231+AU231+AZ231))-(IF(AND('Your debts'!$F$6&lt;&gt;"",'Your debts'!$F$8&lt;&gt;"",'Your debts'!$F$6&lt;'Your debts'!$F$8),H231,0)+IF(AND('Your debts'!$F$7&lt;&gt;"",'Your debts'!$F$8&lt;&gt;"",'Your debts'!$F$7&lt;'Your debts'!$F$8),M231,0)+IF(AND('Your debts'!$F$9&lt;&gt;"",'Your debts'!$F$8&lt;&gt;"",'Your debts'!$F$9&lt;'Your debts'!$F$8),W231,0)+IF(AND('Your debts'!$F$10&lt;&gt;"",'Your debts'!$F$8&lt;&gt;"",'Your debts'!$F$10&lt;'Your debts'!$F$8),AB231,0)+IF(AND('Your debts'!$F$11&lt;&gt;"",'Your debts'!$F$8&lt;&gt;"",'Your debts'!$F$11&lt;'Your debts'!$F$8),AG231,0)+IF(AND('Your debts'!$F$12&lt;&gt;"",'Your debts'!$F$8&lt;&gt;"",'Your debts'!$F$12&lt;'Your debts'!$F$8),AL231,0)+IF(AND('Your debts'!$F$13&lt;&gt;"",'Your debts'!$F$8&lt;&gt;"",'Your debts'!$F$13&lt;'Your debts'!$F$8),AQ231,0)+IF(AND('Your debts'!$F$14&lt;&gt;"",'Your debts'!$F$8&lt;&gt;"",'Your debts'!$F$14&lt;'Your debts'!$F$8),AV231,0)+IF(AND('Your debts'!$F$15&lt;&gt;"",'Your debts'!$F$8&lt;&gt;"",'Your debts'!$F$15&lt;'Your debts'!$F$8),BA231,0)))))</f>
        <v/>
      </c>
      <c r="T231" s="33">
        <f>R231-S231</f>
        <v/>
      </c>
      <c r="U231" s="33">
        <f>IF(Y230&lt;=0,0,ROUND(Y230*(1+'Your debts'!$D$9/1200),2))</f>
        <v/>
      </c>
      <c r="V231" s="33">
        <f>IF(U231&lt;=0,0,MIN('Your debts'!$E$9,U231))</f>
        <v/>
      </c>
      <c r="W231" s="33">
        <f>U231-V231</f>
        <v/>
      </c>
      <c r="X231" s="33">
        <f>IF('Your debts'!$F$9="",0,MIN(W231,MAX(0,MAX(0,'Your debts'!$C$19-(G231+L231+Q231+V231+AA231+AF231+AK231+AP231+AU231+AZ231))-(IF(AND('Your debts'!$F$6&lt;&gt;"",'Your debts'!$F$9&lt;&gt;"",'Your debts'!$F$6&lt;'Your debts'!$F$9),H231,0)+IF(AND('Your debts'!$F$7&lt;&gt;"",'Your debts'!$F$9&lt;&gt;"",'Your debts'!$F$7&lt;'Your debts'!$F$9),M231,0)+IF(AND('Your debts'!$F$8&lt;&gt;"",'Your debts'!$F$9&lt;&gt;"",'Your debts'!$F$8&lt;'Your debts'!$F$9),R231,0)+IF(AND('Your debts'!$F$10&lt;&gt;"",'Your debts'!$F$9&lt;&gt;"",'Your debts'!$F$10&lt;'Your debts'!$F$9),AB231,0)+IF(AND('Your debts'!$F$11&lt;&gt;"",'Your debts'!$F$9&lt;&gt;"",'Your debts'!$F$11&lt;'Your debts'!$F$9),AG231,0)+IF(AND('Your debts'!$F$12&lt;&gt;"",'Your debts'!$F$9&lt;&gt;"",'Your debts'!$F$12&lt;'Your debts'!$F$9),AL231,0)+IF(AND('Your debts'!$F$13&lt;&gt;"",'Your debts'!$F$9&lt;&gt;"",'Your debts'!$F$13&lt;'Your debts'!$F$9),AQ231,0)+IF(AND('Your debts'!$F$14&lt;&gt;"",'Your debts'!$F$9&lt;&gt;"",'Your debts'!$F$14&lt;'Your debts'!$F$9),AV231,0)+IF(AND('Your debts'!$F$15&lt;&gt;"",'Your debts'!$F$9&lt;&gt;"",'Your debts'!$F$15&lt;'Your debts'!$F$9),BA231,0)))))</f>
        <v/>
      </c>
      <c r="Y231" s="33">
        <f>W231-X231</f>
        <v/>
      </c>
      <c r="Z231" s="33">
        <f>IF(AD230&lt;=0,0,ROUND(AD230*(1+'Your debts'!$D$10/1200),2))</f>
        <v/>
      </c>
      <c r="AA231" s="33">
        <f>IF(Z231&lt;=0,0,MIN('Your debts'!$E$10,Z231))</f>
        <v/>
      </c>
      <c r="AB231" s="33">
        <f>Z231-AA231</f>
        <v/>
      </c>
      <c r="AC231" s="33">
        <f>IF('Your debts'!$F$10="",0,MIN(AB231,MAX(0,MAX(0,'Your debts'!$C$19-(G231+L231+Q231+V231+AA231+AF231+AK231+AP231+AU231+AZ231))-(IF(AND('Your debts'!$F$6&lt;&gt;"",'Your debts'!$F$10&lt;&gt;"",'Your debts'!$F$6&lt;'Your debts'!$F$10),H231,0)+IF(AND('Your debts'!$F$7&lt;&gt;"",'Your debts'!$F$10&lt;&gt;"",'Your debts'!$F$7&lt;'Your debts'!$F$10),M231,0)+IF(AND('Your debts'!$F$8&lt;&gt;"",'Your debts'!$F$10&lt;&gt;"",'Your debts'!$F$8&lt;'Your debts'!$F$10),R231,0)+IF(AND('Your debts'!$F$9&lt;&gt;"",'Your debts'!$F$10&lt;&gt;"",'Your debts'!$F$9&lt;'Your debts'!$F$10),W231,0)+IF(AND('Your debts'!$F$11&lt;&gt;"",'Your debts'!$F$10&lt;&gt;"",'Your debts'!$F$11&lt;'Your debts'!$F$10),AG231,0)+IF(AND('Your debts'!$F$12&lt;&gt;"",'Your debts'!$F$10&lt;&gt;"",'Your debts'!$F$12&lt;'Your debts'!$F$10),AL231,0)+IF(AND('Your debts'!$F$13&lt;&gt;"",'Your debts'!$F$10&lt;&gt;"",'Your debts'!$F$13&lt;'Your debts'!$F$10),AQ231,0)+IF(AND('Your debts'!$F$14&lt;&gt;"",'Your debts'!$F$10&lt;&gt;"",'Your debts'!$F$14&lt;'Your debts'!$F$10),AV231,0)+IF(AND('Your debts'!$F$15&lt;&gt;"",'Your debts'!$F$10&lt;&gt;"",'Your debts'!$F$15&lt;'Your debts'!$F$10),BA231,0)))))</f>
        <v/>
      </c>
      <c r="AD231" s="33">
        <f>AB231-AC231</f>
        <v/>
      </c>
      <c r="AE231" s="33">
        <f>IF(AI230&lt;=0,0,ROUND(AI230*(1+'Your debts'!$D$11/1200),2))</f>
        <v/>
      </c>
      <c r="AF231" s="33">
        <f>IF(AE231&lt;=0,0,MIN('Your debts'!$E$11,AE231))</f>
        <v/>
      </c>
      <c r="AG231" s="33">
        <f>AE231-AF231</f>
        <v/>
      </c>
      <c r="AH231" s="33">
        <f>IF('Your debts'!$F$11="",0,MIN(AG231,MAX(0,MAX(0,'Your debts'!$C$19-(G231+L231+Q231+V231+AA231+AF231+AK231+AP231+AU231+AZ231))-(IF(AND('Your debts'!$F$6&lt;&gt;"",'Your debts'!$F$11&lt;&gt;"",'Your debts'!$F$6&lt;'Your debts'!$F$11),H231,0)+IF(AND('Your debts'!$F$7&lt;&gt;"",'Your debts'!$F$11&lt;&gt;"",'Your debts'!$F$7&lt;'Your debts'!$F$11),M231,0)+IF(AND('Your debts'!$F$8&lt;&gt;"",'Your debts'!$F$11&lt;&gt;"",'Your debts'!$F$8&lt;'Your debts'!$F$11),R231,0)+IF(AND('Your debts'!$F$9&lt;&gt;"",'Your debts'!$F$11&lt;&gt;"",'Your debts'!$F$9&lt;'Your debts'!$F$11),W231,0)+IF(AND('Your debts'!$F$10&lt;&gt;"",'Your debts'!$F$11&lt;&gt;"",'Your debts'!$F$10&lt;'Your debts'!$F$11),AB231,0)+IF(AND('Your debts'!$F$12&lt;&gt;"",'Your debts'!$F$11&lt;&gt;"",'Your debts'!$F$12&lt;'Your debts'!$F$11),AL231,0)+IF(AND('Your debts'!$F$13&lt;&gt;"",'Your debts'!$F$11&lt;&gt;"",'Your debts'!$F$13&lt;'Your debts'!$F$11),AQ231,0)+IF(AND('Your debts'!$F$14&lt;&gt;"",'Your debts'!$F$11&lt;&gt;"",'Your debts'!$F$14&lt;'Your debts'!$F$11),AV231,0)+IF(AND('Your debts'!$F$15&lt;&gt;"",'Your debts'!$F$11&lt;&gt;"",'Your debts'!$F$15&lt;'Your debts'!$F$11),BA231,0)))))</f>
        <v/>
      </c>
      <c r="AI231" s="33">
        <f>AG231-AH231</f>
        <v/>
      </c>
      <c r="AJ231" s="33">
        <f>IF(AN230&lt;=0,0,ROUND(AN230*(1+'Your debts'!$D$12/1200),2))</f>
        <v/>
      </c>
      <c r="AK231" s="33">
        <f>IF(AJ231&lt;=0,0,MIN('Your debts'!$E$12,AJ231))</f>
        <v/>
      </c>
      <c r="AL231" s="33">
        <f>AJ231-AK231</f>
        <v/>
      </c>
      <c r="AM231" s="33">
        <f>IF('Your debts'!$F$12="",0,MIN(AL231,MAX(0,MAX(0,'Your debts'!$C$19-(G231+L231+Q231+V231+AA231+AF231+AK231+AP231+AU231+AZ231))-(IF(AND('Your debts'!$F$6&lt;&gt;"",'Your debts'!$F$12&lt;&gt;"",'Your debts'!$F$6&lt;'Your debts'!$F$12),H231,0)+IF(AND('Your debts'!$F$7&lt;&gt;"",'Your debts'!$F$12&lt;&gt;"",'Your debts'!$F$7&lt;'Your debts'!$F$12),M231,0)+IF(AND('Your debts'!$F$8&lt;&gt;"",'Your debts'!$F$12&lt;&gt;"",'Your debts'!$F$8&lt;'Your debts'!$F$12),R231,0)+IF(AND('Your debts'!$F$9&lt;&gt;"",'Your debts'!$F$12&lt;&gt;"",'Your debts'!$F$9&lt;'Your debts'!$F$12),W231,0)+IF(AND('Your debts'!$F$10&lt;&gt;"",'Your debts'!$F$12&lt;&gt;"",'Your debts'!$F$10&lt;'Your debts'!$F$12),AB231,0)+IF(AND('Your debts'!$F$11&lt;&gt;"",'Your debts'!$F$12&lt;&gt;"",'Your debts'!$F$11&lt;'Your debts'!$F$12),AG231,0)+IF(AND('Your debts'!$F$13&lt;&gt;"",'Your debts'!$F$12&lt;&gt;"",'Your debts'!$F$13&lt;'Your debts'!$F$12),AQ231,0)+IF(AND('Your debts'!$F$14&lt;&gt;"",'Your debts'!$F$12&lt;&gt;"",'Your debts'!$F$14&lt;'Your debts'!$F$12),AV231,0)+IF(AND('Your debts'!$F$15&lt;&gt;"",'Your debts'!$F$12&lt;&gt;"",'Your debts'!$F$15&lt;'Your debts'!$F$12),BA231,0)))))</f>
        <v/>
      </c>
      <c r="AN231" s="33">
        <f>AL231-AM231</f>
        <v/>
      </c>
      <c r="AO231" s="33">
        <f>IF(AS230&lt;=0,0,ROUND(AS230*(1+'Your debts'!$D$13/1200),2))</f>
        <v/>
      </c>
      <c r="AP231" s="33">
        <f>IF(AO231&lt;=0,0,MIN('Your debts'!$E$13,AO231))</f>
        <v/>
      </c>
      <c r="AQ231" s="33">
        <f>AO231-AP231</f>
        <v/>
      </c>
      <c r="AR231" s="33">
        <f>IF('Your debts'!$F$13="",0,MIN(AQ231,MAX(0,MAX(0,'Your debts'!$C$19-(G231+L231+Q231+V231+AA231+AF231+AK231+AP231+AU231+AZ231))-(IF(AND('Your debts'!$F$6&lt;&gt;"",'Your debts'!$F$13&lt;&gt;"",'Your debts'!$F$6&lt;'Your debts'!$F$13),H231,0)+IF(AND('Your debts'!$F$7&lt;&gt;"",'Your debts'!$F$13&lt;&gt;"",'Your debts'!$F$7&lt;'Your debts'!$F$13),M231,0)+IF(AND('Your debts'!$F$8&lt;&gt;"",'Your debts'!$F$13&lt;&gt;"",'Your debts'!$F$8&lt;'Your debts'!$F$13),R231,0)+IF(AND('Your debts'!$F$9&lt;&gt;"",'Your debts'!$F$13&lt;&gt;"",'Your debts'!$F$9&lt;'Your debts'!$F$13),W231,0)+IF(AND('Your debts'!$F$10&lt;&gt;"",'Your debts'!$F$13&lt;&gt;"",'Your debts'!$F$10&lt;'Your debts'!$F$13),AB231,0)+IF(AND('Your debts'!$F$11&lt;&gt;"",'Your debts'!$F$13&lt;&gt;"",'Your debts'!$F$11&lt;'Your debts'!$F$13),AG231,0)+IF(AND('Your debts'!$F$12&lt;&gt;"",'Your debts'!$F$13&lt;&gt;"",'Your debts'!$F$12&lt;'Your debts'!$F$13),AL231,0)+IF(AND('Your debts'!$F$14&lt;&gt;"",'Your debts'!$F$13&lt;&gt;"",'Your debts'!$F$14&lt;'Your debts'!$F$13),AV231,0)+IF(AND('Your debts'!$F$15&lt;&gt;"",'Your debts'!$F$13&lt;&gt;"",'Your debts'!$F$15&lt;'Your debts'!$F$13),BA231,0)))))</f>
        <v/>
      </c>
      <c r="AS231" s="33">
        <f>AQ231-AR231</f>
        <v/>
      </c>
      <c r="AT231" s="33">
        <f>IF(AX230&lt;=0,0,ROUND(AX230*(1+'Your debts'!$D$14/1200),2))</f>
        <v/>
      </c>
      <c r="AU231" s="33">
        <f>IF(AT231&lt;=0,0,MIN('Your debts'!$E$14,AT231))</f>
        <v/>
      </c>
      <c r="AV231" s="33">
        <f>AT231-AU231</f>
        <v/>
      </c>
      <c r="AW231" s="33">
        <f>IF('Your debts'!$F$14="",0,MIN(AV231,MAX(0,MAX(0,'Your debts'!$C$19-(G231+L231+Q231+V231+AA231+AF231+AK231+AP231+AU231+AZ231))-(IF(AND('Your debts'!$F$6&lt;&gt;"",'Your debts'!$F$14&lt;&gt;"",'Your debts'!$F$6&lt;'Your debts'!$F$14),H231,0)+IF(AND('Your debts'!$F$7&lt;&gt;"",'Your debts'!$F$14&lt;&gt;"",'Your debts'!$F$7&lt;'Your debts'!$F$14),M231,0)+IF(AND('Your debts'!$F$8&lt;&gt;"",'Your debts'!$F$14&lt;&gt;"",'Your debts'!$F$8&lt;'Your debts'!$F$14),R231,0)+IF(AND('Your debts'!$F$9&lt;&gt;"",'Your debts'!$F$14&lt;&gt;"",'Your debts'!$F$9&lt;'Your debts'!$F$14),W231,0)+IF(AND('Your debts'!$F$10&lt;&gt;"",'Your debts'!$F$14&lt;&gt;"",'Your debts'!$F$10&lt;'Your debts'!$F$14),AB231,0)+IF(AND('Your debts'!$F$11&lt;&gt;"",'Your debts'!$F$14&lt;&gt;"",'Your debts'!$F$11&lt;'Your debts'!$F$14),AG231,0)+IF(AND('Your debts'!$F$12&lt;&gt;"",'Your debts'!$F$14&lt;&gt;"",'Your debts'!$F$12&lt;'Your debts'!$F$14),AL231,0)+IF(AND('Your debts'!$F$13&lt;&gt;"",'Your debts'!$F$14&lt;&gt;"",'Your debts'!$F$13&lt;'Your debts'!$F$14),AQ231,0)+IF(AND('Your debts'!$F$15&lt;&gt;"",'Your debts'!$F$14&lt;&gt;"",'Your debts'!$F$15&lt;'Your debts'!$F$14),BA231,0)))))</f>
        <v/>
      </c>
      <c r="AX231" s="33">
        <f>AV231-AW231</f>
        <v/>
      </c>
      <c r="AY231" s="33">
        <f>IF(BC230&lt;=0,0,ROUND(BC230*(1+'Your debts'!$D$15/1200),2))</f>
        <v/>
      </c>
      <c r="AZ231" s="33">
        <f>IF(AY231&lt;=0,0,MIN('Your debts'!$E$15,AY231))</f>
        <v/>
      </c>
      <c r="BA231" s="33">
        <f>AY231-AZ231</f>
        <v/>
      </c>
      <c r="BB231" s="33">
        <f>IF('Your debts'!$F$15="",0,MIN(BA231,MAX(0,MAX(0,'Your debts'!$C$19-(G231+L231+Q231+V231+AA231+AF231+AK231+AP231+AU231+AZ231))-(IF(AND('Your debts'!$F$6&lt;&gt;"",'Your debts'!$F$15&lt;&gt;"",'Your debts'!$F$6&lt;'Your debts'!$F$15),H231,0)+IF(AND('Your debts'!$F$7&lt;&gt;"",'Your debts'!$F$15&lt;&gt;"",'Your debts'!$F$7&lt;'Your debts'!$F$15),M231,0)+IF(AND('Your debts'!$F$8&lt;&gt;"",'Your debts'!$F$15&lt;&gt;"",'Your debts'!$F$8&lt;'Your debts'!$F$15),R231,0)+IF(AND('Your debts'!$F$9&lt;&gt;"",'Your debts'!$F$15&lt;&gt;"",'Your debts'!$F$9&lt;'Your debts'!$F$15),W231,0)+IF(AND('Your debts'!$F$10&lt;&gt;"",'Your debts'!$F$15&lt;&gt;"",'Your debts'!$F$10&lt;'Your debts'!$F$15),AB231,0)+IF(AND('Your debts'!$F$11&lt;&gt;"",'Your debts'!$F$15&lt;&gt;"",'Your debts'!$F$11&lt;'Your debts'!$F$15),AG231,0)+IF(AND('Your debts'!$F$12&lt;&gt;"",'Your debts'!$F$15&lt;&gt;"",'Your debts'!$F$12&lt;'Your debts'!$F$15),AL231,0)+IF(AND('Your debts'!$F$13&lt;&gt;"",'Your debts'!$F$15&lt;&gt;"",'Your debts'!$F$13&lt;'Your debts'!$F$15),AQ231,0)+IF(AND('Your debts'!$F$14&lt;&gt;"",'Your debts'!$F$15&lt;&gt;"",'Your debts'!$F$14&lt;'Your debts'!$F$15),AV231,0)))))</f>
        <v/>
      </c>
      <c r="BC231" s="33">
        <f>BA231-BB231</f>
        <v/>
      </c>
    </row>
    <row r="232">
      <c r="A232" s="30" t="n">
        <v>217</v>
      </c>
      <c r="B232" s="31">
        <f>EDATE($B$15,217)</f>
        <v/>
      </c>
      <c r="C232" s="32">
        <f>IF(J231&lt;=0,0,F232-J231)+IF(O231&lt;=0,0,K232-O231)+IF(T231&lt;=0,0,P232-T231)+IF(Y231&lt;=0,0,U232-Y231)+IF(AD231&lt;=0,0,Z232-AD231)+IF(AI231&lt;=0,0,AE232-AI231)+IF(AN231&lt;=0,0,AJ232-AN231)+IF(AS231&lt;=0,0,AO232-AS231)+IF(AX231&lt;=0,0,AT232-AX231)+IF(BC231&lt;=0,0,AY232-BC231)</f>
        <v/>
      </c>
      <c r="D232" s="32">
        <f>G232+I232+L232+N232+Q232+S232+V232+X232+AA232+AC232+AF232+AH232+AK232+AM232+AP232+AR232+AU232+AW232+AZ232+BB232</f>
        <v/>
      </c>
      <c r="E232" s="32">
        <f>J232+O232+T232+Y232+AD232+AI232+AN232+AS232+AX232+BC232</f>
        <v/>
      </c>
      <c r="F232" s="33">
        <f>IF(J231&lt;=0,0,ROUND(J231*(1+'Your debts'!$D$6/1200),2))</f>
        <v/>
      </c>
      <c r="G232" s="33">
        <f>IF(F232&lt;=0,0,MIN('Your debts'!$E$6,F232))</f>
        <v/>
      </c>
      <c r="H232" s="33">
        <f>F232-G232</f>
        <v/>
      </c>
      <c r="I232" s="33">
        <f>IF('Your debts'!$F$6="",0,MIN(H232,MAX(0,MAX(0,'Your debts'!$C$19-(G232+L232+Q232+V232+AA232+AF232+AK232+AP232+AU232+AZ232))-(IF(AND('Your debts'!$F$7&lt;&gt;"",'Your debts'!$F$6&lt;&gt;"",'Your debts'!$F$7&lt;'Your debts'!$F$6),M232,0)+IF(AND('Your debts'!$F$8&lt;&gt;"",'Your debts'!$F$6&lt;&gt;"",'Your debts'!$F$8&lt;'Your debts'!$F$6),R232,0)+IF(AND('Your debts'!$F$9&lt;&gt;"",'Your debts'!$F$6&lt;&gt;"",'Your debts'!$F$9&lt;'Your debts'!$F$6),W232,0)+IF(AND('Your debts'!$F$10&lt;&gt;"",'Your debts'!$F$6&lt;&gt;"",'Your debts'!$F$10&lt;'Your debts'!$F$6),AB232,0)+IF(AND('Your debts'!$F$11&lt;&gt;"",'Your debts'!$F$6&lt;&gt;"",'Your debts'!$F$11&lt;'Your debts'!$F$6),AG232,0)+IF(AND('Your debts'!$F$12&lt;&gt;"",'Your debts'!$F$6&lt;&gt;"",'Your debts'!$F$12&lt;'Your debts'!$F$6),AL232,0)+IF(AND('Your debts'!$F$13&lt;&gt;"",'Your debts'!$F$6&lt;&gt;"",'Your debts'!$F$13&lt;'Your debts'!$F$6),AQ232,0)+IF(AND('Your debts'!$F$14&lt;&gt;"",'Your debts'!$F$6&lt;&gt;"",'Your debts'!$F$14&lt;'Your debts'!$F$6),AV232,0)+IF(AND('Your debts'!$F$15&lt;&gt;"",'Your debts'!$F$6&lt;&gt;"",'Your debts'!$F$15&lt;'Your debts'!$F$6),BA232,0)))))</f>
        <v/>
      </c>
      <c r="J232" s="33">
        <f>H232-I232</f>
        <v/>
      </c>
      <c r="K232" s="33">
        <f>IF(O231&lt;=0,0,ROUND(O231*(1+'Your debts'!$D$7/1200),2))</f>
        <v/>
      </c>
      <c r="L232" s="33">
        <f>IF(K232&lt;=0,0,MIN('Your debts'!$E$7,K232))</f>
        <v/>
      </c>
      <c r="M232" s="33">
        <f>K232-L232</f>
        <v/>
      </c>
      <c r="N232" s="33">
        <f>IF('Your debts'!$F$7="",0,MIN(M232,MAX(0,MAX(0,'Your debts'!$C$19-(G232+L232+Q232+V232+AA232+AF232+AK232+AP232+AU232+AZ232))-(IF(AND('Your debts'!$F$6&lt;&gt;"",'Your debts'!$F$7&lt;&gt;"",'Your debts'!$F$6&lt;'Your debts'!$F$7),H232,0)+IF(AND('Your debts'!$F$8&lt;&gt;"",'Your debts'!$F$7&lt;&gt;"",'Your debts'!$F$8&lt;'Your debts'!$F$7),R232,0)+IF(AND('Your debts'!$F$9&lt;&gt;"",'Your debts'!$F$7&lt;&gt;"",'Your debts'!$F$9&lt;'Your debts'!$F$7),W232,0)+IF(AND('Your debts'!$F$10&lt;&gt;"",'Your debts'!$F$7&lt;&gt;"",'Your debts'!$F$10&lt;'Your debts'!$F$7),AB232,0)+IF(AND('Your debts'!$F$11&lt;&gt;"",'Your debts'!$F$7&lt;&gt;"",'Your debts'!$F$11&lt;'Your debts'!$F$7),AG232,0)+IF(AND('Your debts'!$F$12&lt;&gt;"",'Your debts'!$F$7&lt;&gt;"",'Your debts'!$F$12&lt;'Your debts'!$F$7),AL232,0)+IF(AND('Your debts'!$F$13&lt;&gt;"",'Your debts'!$F$7&lt;&gt;"",'Your debts'!$F$13&lt;'Your debts'!$F$7),AQ232,0)+IF(AND('Your debts'!$F$14&lt;&gt;"",'Your debts'!$F$7&lt;&gt;"",'Your debts'!$F$14&lt;'Your debts'!$F$7),AV232,0)+IF(AND('Your debts'!$F$15&lt;&gt;"",'Your debts'!$F$7&lt;&gt;"",'Your debts'!$F$15&lt;'Your debts'!$F$7),BA232,0)))))</f>
        <v/>
      </c>
      <c r="O232" s="33">
        <f>M232-N232</f>
        <v/>
      </c>
      <c r="P232" s="33">
        <f>IF(T231&lt;=0,0,ROUND(T231*(1+'Your debts'!$D$8/1200),2))</f>
        <v/>
      </c>
      <c r="Q232" s="33">
        <f>IF(P232&lt;=0,0,MIN('Your debts'!$E$8,P232))</f>
        <v/>
      </c>
      <c r="R232" s="33">
        <f>P232-Q232</f>
        <v/>
      </c>
      <c r="S232" s="33">
        <f>IF('Your debts'!$F$8="",0,MIN(R232,MAX(0,MAX(0,'Your debts'!$C$19-(G232+L232+Q232+V232+AA232+AF232+AK232+AP232+AU232+AZ232))-(IF(AND('Your debts'!$F$6&lt;&gt;"",'Your debts'!$F$8&lt;&gt;"",'Your debts'!$F$6&lt;'Your debts'!$F$8),H232,0)+IF(AND('Your debts'!$F$7&lt;&gt;"",'Your debts'!$F$8&lt;&gt;"",'Your debts'!$F$7&lt;'Your debts'!$F$8),M232,0)+IF(AND('Your debts'!$F$9&lt;&gt;"",'Your debts'!$F$8&lt;&gt;"",'Your debts'!$F$9&lt;'Your debts'!$F$8),W232,0)+IF(AND('Your debts'!$F$10&lt;&gt;"",'Your debts'!$F$8&lt;&gt;"",'Your debts'!$F$10&lt;'Your debts'!$F$8),AB232,0)+IF(AND('Your debts'!$F$11&lt;&gt;"",'Your debts'!$F$8&lt;&gt;"",'Your debts'!$F$11&lt;'Your debts'!$F$8),AG232,0)+IF(AND('Your debts'!$F$12&lt;&gt;"",'Your debts'!$F$8&lt;&gt;"",'Your debts'!$F$12&lt;'Your debts'!$F$8),AL232,0)+IF(AND('Your debts'!$F$13&lt;&gt;"",'Your debts'!$F$8&lt;&gt;"",'Your debts'!$F$13&lt;'Your debts'!$F$8),AQ232,0)+IF(AND('Your debts'!$F$14&lt;&gt;"",'Your debts'!$F$8&lt;&gt;"",'Your debts'!$F$14&lt;'Your debts'!$F$8),AV232,0)+IF(AND('Your debts'!$F$15&lt;&gt;"",'Your debts'!$F$8&lt;&gt;"",'Your debts'!$F$15&lt;'Your debts'!$F$8),BA232,0)))))</f>
        <v/>
      </c>
      <c r="T232" s="33">
        <f>R232-S232</f>
        <v/>
      </c>
      <c r="U232" s="33">
        <f>IF(Y231&lt;=0,0,ROUND(Y231*(1+'Your debts'!$D$9/1200),2))</f>
        <v/>
      </c>
      <c r="V232" s="33">
        <f>IF(U232&lt;=0,0,MIN('Your debts'!$E$9,U232))</f>
        <v/>
      </c>
      <c r="W232" s="33">
        <f>U232-V232</f>
        <v/>
      </c>
      <c r="X232" s="33">
        <f>IF('Your debts'!$F$9="",0,MIN(W232,MAX(0,MAX(0,'Your debts'!$C$19-(G232+L232+Q232+V232+AA232+AF232+AK232+AP232+AU232+AZ232))-(IF(AND('Your debts'!$F$6&lt;&gt;"",'Your debts'!$F$9&lt;&gt;"",'Your debts'!$F$6&lt;'Your debts'!$F$9),H232,0)+IF(AND('Your debts'!$F$7&lt;&gt;"",'Your debts'!$F$9&lt;&gt;"",'Your debts'!$F$7&lt;'Your debts'!$F$9),M232,0)+IF(AND('Your debts'!$F$8&lt;&gt;"",'Your debts'!$F$9&lt;&gt;"",'Your debts'!$F$8&lt;'Your debts'!$F$9),R232,0)+IF(AND('Your debts'!$F$10&lt;&gt;"",'Your debts'!$F$9&lt;&gt;"",'Your debts'!$F$10&lt;'Your debts'!$F$9),AB232,0)+IF(AND('Your debts'!$F$11&lt;&gt;"",'Your debts'!$F$9&lt;&gt;"",'Your debts'!$F$11&lt;'Your debts'!$F$9),AG232,0)+IF(AND('Your debts'!$F$12&lt;&gt;"",'Your debts'!$F$9&lt;&gt;"",'Your debts'!$F$12&lt;'Your debts'!$F$9),AL232,0)+IF(AND('Your debts'!$F$13&lt;&gt;"",'Your debts'!$F$9&lt;&gt;"",'Your debts'!$F$13&lt;'Your debts'!$F$9),AQ232,0)+IF(AND('Your debts'!$F$14&lt;&gt;"",'Your debts'!$F$9&lt;&gt;"",'Your debts'!$F$14&lt;'Your debts'!$F$9),AV232,0)+IF(AND('Your debts'!$F$15&lt;&gt;"",'Your debts'!$F$9&lt;&gt;"",'Your debts'!$F$15&lt;'Your debts'!$F$9),BA232,0)))))</f>
        <v/>
      </c>
      <c r="Y232" s="33">
        <f>W232-X232</f>
        <v/>
      </c>
      <c r="Z232" s="33">
        <f>IF(AD231&lt;=0,0,ROUND(AD231*(1+'Your debts'!$D$10/1200),2))</f>
        <v/>
      </c>
      <c r="AA232" s="33">
        <f>IF(Z232&lt;=0,0,MIN('Your debts'!$E$10,Z232))</f>
        <v/>
      </c>
      <c r="AB232" s="33">
        <f>Z232-AA232</f>
        <v/>
      </c>
      <c r="AC232" s="33">
        <f>IF('Your debts'!$F$10="",0,MIN(AB232,MAX(0,MAX(0,'Your debts'!$C$19-(G232+L232+Q232+V232+AA232+AF232+AK232+AP232+AU232+AZ232))-(IF(AND('Your debts'!$F$6&lt;&gt;"",'Your debts'!$F$10&lt;&gt;"",'Your debts'!$F$6&lt;'Your debts'!$F$10),H232,0)+IF(AND('Your debts'!$F$7&lt;&gt;"",'Your debts'!$F$10&lt;&gt;"",'Your debts'!$F$7&lt;'Your debts'!$F$10),M232,0)+IF(AND('Your debts'!$F$8&lt;&gt;"",'Your debts'!$F$10&lt;&gt;"",'Your debts'!$F$8&lt;'Your debts'!$F$10),R232,0)+IF(AND('Your debts'!$F$9&lt;&gt;"",'Your debts'!$F$10&lt;&gt;"",'Your debts'!$F$9&lt;'Your debts'!$F$10),W232,0)+IF(AND('Your debts'!$F$11&lt;&gt;"",'Your debts'!$F$10&lt;&gt;"",'Your debts'!$F$11&lt;'Your debts'!$F$10),AG232,0)+IF(AND('Your debts'!$F$12&lt;&gt;"",'Your debts'!$F$10&lt;&gt;"",'Your debts'!$F$12&lt;'Your debts'!$F$10),AL232,0)+IF(AND('Your debts'!$F$13&lt;&gt;"",'Your debts'!$F$10&lt;&gt;"",'Your debts'!$F$13&lt;'Your debts'!$F$10),AQ232,0)+IF(AND('Your debts'!$F$14&lt;&gt;"",'Your debts'!$F$10&lt;&gt;"",'Your debts'!$F$14&lt;'Your debts'!$F$10),AV232,0)+IF(AND('Your debts'!$F$15&lt;&gt;"",'Your debts'!$F$10&lt;&gt;"",'Your debts'!$F$15&lt;'Your debts'!$F$10),BA232,0)))))</f>
        <v/>
      </c>
      <c r="AD232" s="33">
        <f>AB232-AC232</f>
        <v/>
      </c>
      <c r="AE232" s="33">
        <f>IF(AI231&lt;=0,0,ROUND(AI231*(1+'Your debts'!$D$11/1200),2))</f>
        <v/>
      </c>
      <c r="AF232" s="33">
        <f>IF(AE232&lt;=0,0,MIN('Your debts'!$E$11,AE232))</f>
        <v/>
      </c>
      <c r="AG232" s="33">
        <f>AE232-AF232</f>
        <v/>
      </c>
      <c r="AH232" s="33">
        <f>IF('Your debts'!$F$11="",0,MIN(AG232,MAX(0,MAX(0,'Your debts'!$C$19-(G232+L232+Q232+V232+AA232+AF232+AK232+AP232+AU232+AZ232))-(IF(AND('Your debts'!$F$6&lt;&gt;"",'Your debts'!$F$11&lt;&gt;"",'Your debts'!$F$6&lt;'Your debts'!$F$11),H232,0)+IF(AND('Your debts'!$F$7&lt;&gt;"",'Your debts'!$F$11&lt;&gt;"",'Your debts'!$F$7&lt;'Your debts'!$F$11),M232,0)+IF(AND('Your debts'!$F$8&lt;&gt;"",'Your debts'!$F$11&lt;&gt;"",'Your debts'!$F$8&lt;'Your debts'!$F$11),R232,0)+IF(AND('Your debts'!$F$9&lt;&gt;"",'Your debts'!$F$11&lt;&gt;"",'Your debts'!$F$9&lt;'Your debts'!$F$11),W232,0)+IF(AND('Your debts'!$F$10&lt;&gt;"",'Your debts'!$F$11&lt;&gt;"",'Your debts'!$F$10&lt;'Your debts'!$F$11),AB232,0)+IF(AND('Your debts'!$F$12&lt;&gt;"",'Your debts'!$F$11&lt;&gt;"",'Your debts'!$F$12&lt;'Your debts'!$F$11),AL232,0)+IF(AND('Your debts'!$F$13&lt;&gt;"",'Your debts'!$F$11&lt;&gt;"",'Your debts'!$F$13&lt;'Your debts'!$F$11),AQ232,0)+IF(AND('Your debts'!$F$14&lt;&gt;"",'Your debts'!$F$11&lt;&gt;"",'Your debts'!$F$14&lt;'Your debts'!$F$11),AV232,0)+IF(AND('Your debts'!$F$15&lt;&gt;"",'Your debts'!$F$11&lt;&gt;"",'Your debts'!$F$15&lt;'Your debts'!$F$11),BA232,0)))))</f>
        <v/>
      </c>
      <c r="AI232" s="33">
        <f>AG232-AH232</f>
        <v/>
      </c>
      <c r="AJ232" s="33">
        <f>IF(AN231&lt;=0,0,ROUND(AN231*(1+'Your debts'!$D$12/1200),2))</f>
        <v/>
      </c>
      <c r="AK232" s="33">
        <f>IF(AJ232&lt;=0,0,MIN('Your debts'!$E$12,AJ232))</f>
        <v/>
      </c>
      <c r="AL232" s="33">
        <f>AJ232-AK232</f>
        <v/>
      </c>
      <c r="AM232" s="33">
        <f>IF('Your debts'!$F$12="",0,MIN(AL232,MAX(0,MAX(0,'Your debts'!$C$19-(G232+L232+Q232+V232+AA232+AF232+AK232+AP232+AU232+AZ232))-(IF(AND('Your debts'!$F$6&lt;&gt;"",'Your debts'!$F$12&lt;&gt;"",'Your debts'!$F$6&lt;'Your debts'!$F$12),H232,0)+IF(AND('Your debts'!$F$7&lt;&gt;"",'Your debts'!$F$12&lt;&gt;"",'Your debts'!$F$7&lt;'Your debts'!$F$12),M232,0)+IF(AND('Your debts'!$F$8&lt;&gt;"",'Your debts'!$F$12&lt;&gt;"",'Your debts'!$F$8&lt;'Your debts'!$F$12),R232,0)+IF(AND('Your debts'!$F$9&lt;&gt;"",'Your debts'!$F$12&lt;&gt;"",'Your debts'!$F$9&lt;'Your debts'!$F$12),W232,0)+IF(AND('Your debts'!$F$10&lt;&gt;"",'Your debts'!$F$12&lt;&gt;"",'Your debts'!$F$10&lt;'Your debts'!$F$12),AB232,0)+IF(AND('Your debts'!$F$11&lt;&gt;"",'Your debts'!$F$12&lt;&gt;"",'Your debts'!$F$11&lt;'Your debts'!$F$12),AG232,0)+IF(AND('Your debts'!$F$13&lt;&gt;"",'Your debts'!$F$12&lt;&gt;"",'Your debts'!$F$13&lt;'Your debts'!$F$12),AQ232,0)+IF(AND('Your debts'!$F$14&lt;&gt;"",'Your debts'!$F$12&lt;&gt;"",'Your debts'!$F$14&lt;'Your debts'!$F$12),AV232,0)+IF(AND('Your debts'!$F$15&lt;&gt;"",'Your debts'!$F$12&lt;&gt;"",'Your debts'!$F$15&lt;'Your debts'!$F$12),BA232,0)))))</f>
        <v/>
      </c>
      <c r="AN232" s="33">
        <f>AL232-AM232</f>
        <v/>
      </c>
      <c r="AO232" s="33">
        <f>IF(AS231&lt;=0,0,ROUND(AS231*(1+'Your debts'!$D$13/1200),2))</f>
        <v/>
      </c>
      <c r="AP232" s="33">
        <f>IF(AO232&lt;=0,0,MIN('Your debts'!$E$13,AO232))</f>
        <v/>
      </c>
      <c r="AQ232" s="33">
        <f>AO232-AP232</f>
        <v/>
      </c>
      <c r="AR232" s="33">
        <f>IF('Your debts'!$F$13="",0,MIN(AQ232,MAX(0,MAX(0,'Your debts'!$C$19-(G232+L232+Q232+V232+AA232+AF232+AK232+AP232+AU232+AZ232))-(IF(AND('Your debts'!$F$6&lt;&gt;"",'Your debts'!$F$13&lt;&gt;"",'Your debts'!$F$6&lt;'Your debts'!$F$13),H232,0)+IF(AND('Your debts'!$F$7&lt;&gt;"",'Your debts'!$F$13&lt;&gt;"",'Your debts'!$F$7&lt;'Your debts'!$F$13),M232,0)+IF(AND('Your debts'!$F$8&lt;&gt;"",'Your debts'!$F$13&lt;&gt;"",'Your debts'!$F$8&lt;'Your debts'!$F$13),R232,0)+IF(AND('Your debts'!$F$9&lt;&gt;"",'Your debts'!$F$13&lt;&gt;"",'Your debts'!$F$9&lt;'Your debts'!$F$13),W232,0)+IF(AND('Your debts'!$F$10&lt;&gt;"",'Your debts'!$F$13&lt;&gt;"",'Your debts'!$F$10&lt;'Your debts'!$F$13),AB232,0)+IF(AND('Your debts'!$F$11&lt;&gt;"",'Your debts'!$F$13&lt;&gt;"",'Your debts'!$F$11&lt;'Your debts'!$F$13),AG232,0)+IF(AND('Your debts'!$F$12&lt;&gt;"",'Your debts'!$F$13&lt;&gt;"",'Your debts'!$F$12&lt;'Your debts'!$F$13),AL232,0)+IF(AND('Your debts'!$F$14&lt;&gt;"",'Your debts'!$F$13&lt;&gt;"",'Your debts'!$F$14&lt;'Your debts'!$F$13),AV232,0)+IF(AND('Your debts'!$F$15&lt;&gt;"",'Your debts'!$F$13&lt;&gt;"",'Your debts'!$F$15&lt;'Your debts'!$F$13),BA232,0)))))</f>
        <v/>
      </c>
      <c r="AS232" s="33">
        <f>AQ232-AR232</f>
        <v/>
      </c>
      <c r="AT232" s="33">
        <f>IF(AX231&lt;=0,0,ROUND(AX231*(1+'Your debts'!$D$14/1200),2))</f>
        <v/>
      </c>
      <c r="AU232" s="33">
        <f>IF(AT232&lt;=0,0,MIN('Your debts'!$E$14,AT232))</f>
        <v/>
      </c>
      <c r="AV232" s="33">
        <f>AT232-AU232</f>
        <v/>
      </c>
      <c r="AW232" s="33">
        <f>IF('Your debts'!$F$14="",0,MIN(AV232,MAX(0,MAX(0,'Your debts'!$C$19-(G232+L232+Q232+V232+AA232+AF232+AK232+AP232+AU232+AZ232))-(IF(AND('Your debts'!$F$6&lt;&gt;"",'Your debts'!$F$14&lt;&gt;"",'Your debts'!$F$6&lt;'Your debts'!$F$14),H232,0)+IF(AND('Your debts'!$F$7&lt;&gt;"",'Your debts'!$F$14&lt;&gt;"",'Your debts'!$F$7&lt;'Your debts'!$F$14),M232,0)+IF(AND('Your debts'!$F$8&lt;&gt;"",'Your debts'!$F$14&lt;&gt;"",'Your debts'!$F$8&lt;'Your debts'!$F$14),R232,0)+IF(AND('Your debts'!$F$9&lt;&gt;"",'Your debts'!$F$14&lt;&gt;"",'Your debts'!$F$9&lt;'Your debts'!$F$14),W232,0)+IF(AND('Your debts'!$F$10&lt;&gt;"",'Your debts'!$F$14&lt;&gt;"",'Your debts'!$F$10&lt;'Your debts'!$F$14),AB232,0)+IF(AND('Your debts'!$F$11&lt;&gt;"",'Your debts'!$F$14&lt;&gt;"",'Your debts'!$F$11&lt;'Your debts'!$F$14),AG232,0)+IF(AND('Your debts'!$F$12&lt;&gt;"",'Your debts'!$F$14&lt;&gt;"",'Your debts'!$F$12&lt;'Your debts'!$F$14),AL232,0)+IF(AND('Your debts'!$F$13&lt;&gt;"",'Your debts'!$F$14&lt;&gt;"",'Your debts'!$F$13&lt;'Your debts'!$F$14),AQ232,0)+IF(AND('Your debts'!$F$15&lt;&gt;"",'Your debts'!$F$14&lt;&gt;"",'Your debts'!$F$15&lt;'Your debts'!$F$14),BA232,0)))))</f>
        <v/>
      </c>
      <c r="AX232" s="33">
        <f>AV232-AW232</f>
        <v/>
      </c>
      <c r="AY232" s="33">
        <f>IF(BC231&lt;=0,0,ROUND(BC231*(1+'Your debts'!$D$15/1200),2))</f>
        <v/>
      </c>
      <c r="AZ232" s="33">
        <f>IF(AY232&lt;=0,0,MIN('Your debts'!$E$15,AY232))</f>
        <v/>
      </c>
      <c r="BA232" s="33">
        <f>AY232-AZ232</f>
        <v/>
      </c>
      <c r="BB232" s="33">
        <f>IF('Your debts'!$F$15="",0,MIN(BA232,MAX(0,MAX(0,'Your debts'!$C$19-(G232+L232+Q232+V232+AA232+AF232+AK232+AP232+AU232+AZ232))-(IF(AND('Your debts'!$F$6&lt;&gt;"",'Your debts'!$F$15&lt;&gt;"",'Your debts'!$F$6&lt;'Your debts'!$F$15),H232,0)+IF(AND('Your debts'!$F$7&lt;&gt;"",'Your debts'!$F$15&lt;&gt;"",'Your debts'!$F$7&lt;'Your debts'!$F$15),M232,0)+IF(AND('Your debts'!$F$8&lt;&gt;"",'Your debts'!$F$15&lt;&gt;"",'Your debts'!$F$8&lt;'Your debts'!$F$15),R232,0)+IF(AND('Your debts'!$F$9&lt;&gt;"",'Your debts'!$F$15&lt;&gt;"",'Your debts'!$F$9&lt;'Your debts'!$F$15),W232,0)+IF(AND('Your debts'!$F$10&lt;&gt;"",'Your debts'!$F$15&lt;&gt;"",'Your debts'!$F$10&lt;'Your debts'!$F$15),AB232,0)+IF(AND('Your debts'!$F$11&lt;&gt;"",'Your debts'!$F$15&lt;&gt;"",'Your debts'!$F$11&lt;'Your debts'!$F$15),AG232,0)+IF(AND('Your debts'!$F$12&lt;&gt;"",'Your debts'!$F$15&lt;&gt;"",'Your debts'!$F$12&lt;'Your debts'!$F$15),AL232,0)+IF(AND('Your debts'!$F$13&lt;&gt;"",'Your debts'!$F$15&lt;&gt;"",'Your debts'!$F$13&lt;'Your debts'!$F$15),AQ232,0)+IF(AND('Your debts'!$F$14&lt;&gt;"",'Your debts'!$F$15&lt;&gt;"",'Your debts'!$F$14&lt;'Your debts'!$F$15),AV232,0)))))</f>
        <v/>
      </c>
      <c r="BC232" s="33">
        <f>BA232-BB232</f>
        <v/>
      </c>
    </row>
    <row r="233">
      <c r="A233" s="30" t="n">
        <v>218</v>
      </c>
      <c r="B233" s="31">
        <f>EDATE($B$15,218)</f>
        <v/>
      </c>
      <c r="C233" s="32">
        <f>IF(J232&lt;=0,0,F233-J232)+IF(O232&lt;=0,0,K233-O232)+IF(T232&lt;=0,0,P233-T232)+IF(Y232&lt;=0,0,U233-Y232)+IF(AD232&lt;=0,0,Z233-AD232)+IF(AI232&lt;=0,0,AE233-AI232)+IF(AN232&lt;=0,0,AJ233-AN232)+IF(AS232&lt;=0,0,AO233-AS232)+IF(AX232&lt;=0,0,AT233-AX232)+IF(BC232&lt;=0,0,AY233-BC232)</f>
        <v/>
      </c>
      <c r="D233" s="32">
        <f>G233+I233+L233+N233+Q233+S233+V233+X233+AA233+AC233+AF233+AH233+AK233+AM233+AP233+AR233+AU233+AW233+AZ233+BB233</f>
        <v/>
      </c>
      <c r="E233" s="32">
        <f>J233+O233+T233+Y233+AD233+AI233+AN233+AS233+AX233+BC233</f>
        <v/>
      </c>
      <c r="F233" s="33">
        <f>IF(J232&lt;=0,0,ROUND(J232*(1+'Your debts'!$D$6/1200),2))</f>
        <v/>
      </c>
      <c r="G233" s="33">
        <f>IF(F233&lt;=0,0,MIN('Your debts'!$E$6,F233))</f>
        <v/>
      </c>
      <c r="H233" s="33">
        <f>F233-G233</f>
        <v/>
      </c>
      <c r="I233" s="33">
        <f>IF('Your debts'!$F$6="",0,MIN(H233,MAX(0,MAX(0,'Your debts'!$C$19-(G233+L233+Q233+V233+AA233+AF233+AK233+AP233+AU233+AZ233))-(IF(AND('Your debts'!$F$7&lt;&gt;"",'Your debts'!$F$6&lt;&gt;"",'Your debts'!$F$7&lt;'Your debts'!$F$6),M233,0)+IF(AND('Your debts'!$F$8&lt;&gt;"",'Your debts'!$F$6&lt;&gt;"",'Your debts'!$F$8&lt;'Your debts'!$F$6),R233,0)+IF(AND('Your debts'!$F$9&lt;&gt;"",'Your debts'!$F$6&lt;&gt;"",'Your debts'!$F$9&lt;'Your debts'!$F$6),W233,0)+IF(AND('Your debts'!$F$10&lt;&gt;"",'Your debts'!$F$6&lt;&gt;"",'Your debts'!$F$10&lt;'Your debts'!$F$6),AB233,0)+IF(AND('Your debts'!$F$11&lt;&gt;"",'Your debts'!$F$6&lt;&gt;"",'Your debts'!$F$11&lt;'Your debts'!$F$6),AG233,0)+IF(AND('Your debts'!$F$12&lt;&gt;"",'Your debts'!$F$6&lt;&gt;"",'Your debts'!$F$12&lt;'Your debts'!$F$6),AL233,0)+IF(AND('Your debts'!$F$13&lt;&gt;"",'Your debts'!$F$6&lt;&gt;"",'Your debts'!$F$13&lt;'Your debts'!$F$6),AQ233,0)+IF(AND('Your debts'!$F$14&lt;&gt;"",'Your debts'!$F$6&lt;&gt;"",'Your debts'!$F$14&lt;'Your debts'!$F$6),AV233,0)+IF(AND('Your debts'!$F$15&lt;&gt;"",'Your debts'!$F$6&lt;&gt;"",'Your debts'!$F$15&lt;'Your debts'!$F$6),BA233,0)))))</f>
        <v/>
      </c>
      <c r="J233" s="33">
        <f>H233-I233</f>
        <v/>
      </c>
      <c r="K233" s="33">
        <f>IF(O232&lt;=0,0,ROUND(O232*(1+'Your debts'!$D$7/1200),2))</f>
        <v/>
      </c>
      <c r="L233" s="33">
        <f>IF(K233&lt;=0,0,MIN('Your debts'!$E$7,K233))</f>
        <v/>
      </c>
      <c r="M233" s="33">
        <f>K233-L233</f>
        <v/>
      </c>
      <c r="N233" s="33">
        <f>IF('Your debts'!$F$7="",0,MIN(M233,MAX(0,MAX(0,'Your debts'!$C$19-(G233+L233+Q233+V233+AA233+AF233+AK233+AP233+AU233+AZ233))-(IF(AND('Your debts'!$F$6&lt;&gt;"",'Your debts'!$F$7&lt;&gt;"",'Your debts'!$F$6&lt;'Your debts'!$F$7),H233,0)+IF(AND('Your debts'!$F$8&lt;&gt;"",'Your debts'!$F$7&lt;&gt;"",'Your debts'!$F$8&lt;'Your debts'!$F$7),R233,0)+IF(AND('Your debts'!$F$9&lt;&gt;"",'Your debts'!$F$7&lt;&gt;"",'Your debts'!$F$9&lt;'Your debts'!$F$7),W233,0)+IF(AND('Your debts'!$F$10&lt;&gt;"",'Your debts'!$F$7&lt;&gt;"",'Your debts'!$F$10&lt;'Your debts'!$F$7),AB233,0)+IF(AND('Your debts'!$F$11&lt;&gt;"",'Your debts'!$F$7&lt;&gt;"",'Your debts'!$F$11&lt;'Your debts'!$F$7),AG233,0)+IF(AND('Your debts'!$F$12&lt;&gt;"",'Your debts'!$F$7&lt;&gt;"",'Your debts'!$F$12&lt;'Your debts'!$F$7),AL233,0)+IF(AND('Your debts'!$F$13&lt;&gt;"",'Your debts'!$F$7&lt;&gt;"",'Your debts'!$F$13&lt;'Your debts'!$F$7),AQ233,0)+IF(AND('Your debts'!$F$14&lt;&gt;"",'Your debts'!$F$7&lt;&gt;"",'Your debts'!$F$14&lt;'Your debts'!$F$7),AV233,0)+IF(AND('Your debts'!$F$15&lt;&gt;"",'Your debts'!$F$7&lt;&gt;"",'Your debts'!$F$15&lt;'Your debts'!$F$7),BA233,0)))))</f>
        <v/>
      </c>
      <c r="O233" s="33">
        <f>M233-N233</f>
        <v/>
      </c>
      <c r="P233" s="33">
        <f>IF(T232&lt;=0,0,ROUND(T232*(1+'Your debts'!$D$8/1200),2))</f>
        <v/>
      </c>
      <c r="Q233" s="33">
        <f>IF(P233&lt;=0,0,MIN('Your debts'!$E$8,P233))</f>
        <v/>
      </c>
      <c r="R233" s="33">
        <f>P233-Q233</f>
        <v/>
      </c>
      <c r="S233" s="33">
        <f>IF('Your debts'!$F$8="",0,MIN(R233,MAX(0,MAX(0,'Your debts'!$C$19-(G233+L233+Q233+V233+AA233+AF233+AK233+AP233+AU233+AZ233))-(IF(AND('Your debts'!$F$6&lt;&gt;"",'Your debts'!$F$8&lt;&gt;"",'Your debts'!$F$6&lt;'Your debts'!$F$8),H233,0)+IF(AND('Your debts'!$F$7&lt;&gt;"",'Your debts'!$F$8&lt;&gt;"",'Your debts'!$F$7&lt;'Your debts'!$F$8),M233,0)+IF(AND('Your debts'!$F$9&lt;&gt;"",'Your debts'!$F$8&lt;&gt;"",'Your debts'!$F$9&lt;'Your debts'!$F$8),W233,0)+IF(AND('Your debts'!$F$10&lt;&gt;"",'Your debts'!$F$8&lt;&gt;"",'Your debts'!$F$10&lt;'Your debts'!$F$8),AB233,0)+IF(AND('Your debts'!$F$11&lt;&gt;"",'Your debts'!$F$8&lt;&gt;"",'Your debts'!$F$11&lt;'Your debts'!$F$8),AG233,0)+IF(AND('Your debts'!$F$12&lt;&gt;"",'Your debts'!$F$8&lt;&gt;"",'Your debts'!$F$12&lt;'Your debts'!$F$8),AL233,0)+IF(AND('Your debts'!$F$13&lt;&gt;"",'Your debts'!$F$8&lt;&gt;"",'Your debts'!$F$13&lt;'Your debts'!$F$8),AQ233,0)+IF(AND('Your debts'!$F$14&lt;&gt;"",'Your debts'!$F$8&lt;&gt;"",'Your debts'!$F$14&lt;'Your debts'!$F$8),AV233,0)+IF(AND('Your debts'!$F$15&lt;&gt;"",'Your debts'!$F$8&lt;&gt;"",'Your debts'!$F$15&lt;'Your debts'!$F$8),BA233,0)))))</f>
        <v/>
      </c>
      <c r="T233" s="33">
        <f>R233-S233</f>
        <v/>
      </c>
      <c r="U233" s="33">
        <f>IF(Y232&lt;=0,0,ROUND(Y232*(1+'Your debts'!$D$9/1200),2))</f>
        <v/>
      </c>
      <c r="V233" s="33">
        <f>IF(U233&lt;=0,0,MIN('Your debts'!$E$9,U233))</f>
        <v/>
      </c>
      <c r="W233" s="33">
        <f>U233-V233</f>
        <v/>
      </c>
      <c r="X233" s="33">
        <f>IF('Your debts'!$F$9="",0,MIN(W233,MAX(0,MAX(0,'Your debts'!$C$19-(G233+L233+Q233+V233+AA233+AF233+AK233+AP233+AU233+AZ233))-(IF(AND('Your debts'!$F$6&lt;&gt;"",'Your debts'!$F$9&lt;&gt;"",'Your debts'!$F$6&lt;'Your debts'!$F$9),H233,0)+IF(AND('Your debts'!$F$7&lt;&gt;"",'Your debts'!$F$9&lt;&gt;"",'Your debts'!$F$7&lt;'Your debts'!$F$9),M233,0)+IF(AND('Your debts'!$F$8&lt;&gt;"",'Your debts'!$F$9&lt;&gt;"",'Your debts'!$F$8&lt;'Your debts'!$F$9),R233,0)+IF(AND('Your debts'!$F$10&lt;&gt;"",'Your debts'!$F$9&lt;&gt;"",'Your debts'!$F$10&lt;'Your debts'!$F$9),AB233,0)+IF(AND('Your debts'!$F$11&lt;&gt;"",'Your debts'!$F$9&lt;&gt;"",'Your debts'!$F$11&lt;'Your debts'!$F$9),AG233,0)+IF(AND('Your debts'!$F$12&lt;&gt;"",'Your debts'!$F$9&lt;&gt;"",'Your debts'!$F$12&lt;'Your debts'!$F$9),AL233,0)+IF(AND('Your debts'!$F$13&lt;&gt;"",'Your debts'!$F$9&lt;&gt;"",'Your debts'!$F$13&lt;'Your debts'!$F$9),AQ233,0)+IF(AND('Your debts'!$F$14&lt;&gt;"",'Your debts'!$F$9&lt;&gt;"",'Your debts'!$F$14&lt;'Your debts'!$F$9),AV233,0)+IF(AND('Your debts'!$F$15&lt;&gt;"",'Your debts'!$F$9&lt;&gt;"",'Your debts'!$F$15&lt;'Your debts'!$F$9),BA233,0)))))</f>
        <v/>
      </c>
      <c r="Y233" s="33">
        <f>W233-X233</f>
        <v/>
      </c>
      <c r="Z233" s="33">
        <f>IF(AD232&lt;=0,0,ROUND(AD232*(1+'Your debts'!$D$10/1200),2))</f>
        <v/>
      </c>
      <c r="AA233" s="33">
        <f>IF(Z233&lt;=0,0,MIN('Your debts'!$E$10,Z233))</f>
        <v/>
      </c>
      <c r="AB233" s="33">
        <f>Z233-AA233</f>
        <v/>
      </c>
      <c r="AC233" s="33">
        <f>IF('Your debts'!$F$10="",0,MIN(AB233,MAX(0,MAX(0,'Your debts'!$C$19-(G233+L233+Q233+V233+AA233+AF233+AK233+AP233+AU233+AZ233))-(IF(AND('Your debts'!$F$6&lt;&gt;"",'Your debts'!$F$10&lt;&gt;"",'Your debts'!$F$6&lt;'Your debts'!$F$10),H233,0)+IF(AND('Your debts'!$F$7&lt;&gt;"",'Your debts'!$F$10&lt;&gt;"",'Your debts'!$F$7&lt;'Your debts'!$F$10),M233,0)+IF(AND('Your debts'!$F$8&lt;&gt;"",'Your debts'!$F$10&lt;&gt;"",'Your debts'!$F$8&lt;'Your debts'!$F$10),R233,0)+IF(AND('Your debts'!$F$9&lt;&gt;"",'Your debts'!$F$10&lt;&gt;"",'Your debts'!$F$9&lt;'Your debts'!$F$10),W233,0)+IF(AND('Your debts'!$F$11&lt;&gt;"",'Your debts'!$F$10&lt;&gt;"",'Your debts'!$F$11&lt;'Your debts'!$F$10),AG233,0)+IF(AND('Your debts'!$F$12&lt;&gt;"",'Your debts'!$F$10&lt;&gt;"",'Your debts'!$F$12&lt;'Your debts'!$F$10),AL233,0)+IF(AND('Your debts'!$F$13&lt;&gt;"",'Your debts'!$F$10&lt;&gt;"",'Your debts'!$F$13&lt;'Your debts'!$F$10),AQ233,0)+IF(AND('Your debts'!$F$14&lt;&gt;"",'Your debts'!$F$10&lt;&gt;"",'Your debts'!$F$14&lt;'Your debts'!$F$10),AV233,0)+IF(AND('Your debts'!$F$15&lt;&gt;"",'Your debts'!$F$10&lt;&gt;"",'Your debts'!$F$15&lt;'Your debts'!$F$10),BA233,0)))))</f>
        <v/>
      </c>
      <c r="AD233" s="33">
        <f>AB233-AC233</f>
        <v/>
      </c>
      <c r="AE233" s="33">
        <f>IF(AI232&lt;=0,0,ROUND(AI232*(1+'Your debts'!$D$11/1200),2))</f>
        <v/>
      </c>
      <c r="AF233" s="33">
        <f>IF(AE233&lt;=0,0,MIN('Your debts'!$E$11,AE233))</f>
        <v/>
      </c>
      <c r="AG233" s="33">
        <f>AE233-AF233</f>
        <v/>
      </c>
      <c r="AH233" s="33">
        <f>IF('Your debts'!$F$11="",0,MIN(AG233,MAX(0,MAX(0,'Your debts'!$C$19-(G233+L233+Q233+V233+AA233+AF233+AK233+AP233+AU233+AZ233))-(IF(AND('Your debts'!$F$6&lt;&gt;"",'Your debts'!$F$11&lt;&gt;"",'Your debts'!$F$6&lt;'Your debts'!$F$11),H233,0)+IF(AND('Your debts'!$F$7&lt;&gt;"",'Your debts'!$F$11&lt;&gt;"",'Your debts'!$F$7&lt;'Your debts'!$F$11),M233,0)+IF(AND('Your debts'!$F$8&lt;&gt;"",'Your debts'!$F$11&lt;&gt;"",'Your debts'!$F$8&lt;'Your debts'!$F$11),R233,0)+IF(AND('Your debts'!$F$9&lt;&gt;"",'Your debts'!$F$11&lt;&gt;"",'Your debts'!$F$9&lt;'Your debts'!$F$11),W233,0)+IF(AND('Your debts'!$F$10&lt;&gt;"",'Your debts'!$F$11&lt;&gt;"",'Your debts'!$F$10&lt;'Your debts'!$F$11),AB233,0)+IF(AND('Your debts'!$F$12&lt;&gt;"",'Your debts'!$F$11&lt;&gt;"",'Your debts'!$F$12&lt;'Your debts'!$F$11),AL233,0)+IF(AND('Your debts'!$F$13&lt;&gt;"",'Your debts'!$F$11&lt;&gt;"",'Your debts'!$F$13&lt;'Your debts'!$F$11),AQ233,0)+IF(AND('Your debts'!$F$14&lt;&gt;"",'Your debts'!$F$11&lt;&gt;"",'Your debts'!$F$14&lt;'Your debts'!$F$11),AV233,0)+IF(AND('Your debts'!$F$15&lt;&gt;"",'Your debts'!$F$11&lt;&gt;"",'Your debts'!$F$15&lt;'Your debts'!$F$11),BA233,0)))))</f>
        <v/>
      </c>
      <c r="AI233" s="33">
        <f>AG233-AH233</f>
        <v/>
      </c>
      <c r="AJ233" s="33">
        <f>IF(AN232&lt;=0,0,ROUND(AN232*(1+'Your debts'!$D$12/1200),2))</f>
        <v/>
      </c>
      <c r="AK233" s="33">
        <f>IF(AJ233&lt;=0,0,MIN('Your debts'!$E$12,AJ233))</f>
        <v/>
      </c>
      <c r="AL233" s="33">
        <f>AJ233-AK233</f>
        <v/>
      </c>
      <c r="AM233" s="33">
        <f>IF('Your debts'!$F$12="",0,MIN(AL233,MAX(0,MAX(0,'Your debts'!$C$19-(G233+L233+Q233+V233+AA233+AF233+AK233+AP233+AU233+AZ233))-(IF(AND('Your debts'!$F$6&lt;&gt;"",'Your debts'!$F$12&lt;&gt;"",'Your debts'!$F$6&lt;'Your debts'!$F$12),H233,0)+IF(AND('Your debts'!$F$7&lt;&gt;"",'Your debts'!$F$12&lt;&gt;"",'Your debts'!$F$7&lt;'Your debts'!$F$12),M233,0)+IF(AND('Your debts'!$F$8&lt;&gt;"",'Your debts'!$F$12&lt;&gt;"",'Your debts'!$F$8&lt;'Your debts'!$F$12),R233,0)+IF(AND('Your debts'!$F$9&lt;&gt;"",'Your debts'!$F$12&lt;&gt;"",'Your debts'!$F$9&lt;'Your debts'!$F$12),W233,0)+IF(AND('Your debts'!$F$10&lt;&gt;"",'Your debts'!$F$12&lt;&gt;"",'Your debts'!$F$10&lt;'Your debts'!$F$12),AB233,0)+IF(AND('Your debts'!$F$11&lt;&gt;"",'Your debts'!$F$12&lt;&gt;"",'Your debts'!$F$11&lt;'Your debts'!$F$12),AG233,0)+IF(AND('Your debts'!$F$13&lt;&gt;"",'Your debts'!$F$12&lt;&gt;"",'Your debts'!$F$13&lt;'Your debts'!$F$12),AQ233,0)+IF(AND('Your debts'!$F$14&lt;&gt;"",'Your debts'!$F$12&lt;&gt;"",'Your debts'!$F$14&lt;'Your debts'!$F$12),AV233,0)+IF(AND('Your debts'!$F$15&lt;&gt;"",'Your debts'!$F$12&lt;&gt;"",'Your debts'!$F$15&lt;'Your debts'!$F$12),BA233,0)))))</f>
        <v/>
      </c>
      <c r="AN233" s="33">
        <f>AL233-AM233</f>
        <v/>
      </c>
      <c r="AO233" s="33">
        <f>IF(AS232&lt;=0,0,ROUND(AS232*(1+'Your debts'!$D$13/1200),2))</f>
        <v/>
      </c>
      <c r="AP233" s="33">
        <f>IF(AO233&lt;=0,0,MIN('Your debts'!$E$13,AO233))</f>
        <v/>
      </c>
      <c r="AQ233" s="33">
        <f>AO233-AP233</f>
        <v/>
      </c>
      <c r="AR233" s="33">
        <f>IF('Your debts'!$F$13="",0,MIN(AQ233,MAX(0,MAX(0,'Your debts'!$C$19-(G233+L233+Q233+V233+AA233+AF233+AK233+AP233+AU233+AZ233))-(IF(AND('Your debts'!$F$6&lt;&gt;"",'Your debts'!$F$13&lt;&gt;"",'Your debts'!$F$6&lt;'Your debts'!$F$13),H233,0)+IF(AND('Your debts'!$F$7&lt;&gt;"",'Your debts'!$F$13&lt;&gt;"",'Your debts'!$F$7&lt;'Your debts'!$F$13),M233,0)+IF(AND('Your debts'!$F$8&lt;&gt;"",'Your debts'!$F$13&lt;&gt;"",'Your debts'!$F$8&lt;'Your debts'!$F$13),R233,0)+IF(AND('Your debts'!$F$9&lt;&gt;"",'Your debts'!$F$13&lt;&gt;"",'Your debts'!$F$9&lt;'Your debts'!$F$13),W233,0)+IF(AND('Your debts'!$F$10&lt;&gt;"",'Your debts'!$F$13&lt;&gt;"",'Your debts'!$F$10&lt;'Your debts'!$F$13),AB233,0)+IF(AND('Your debts'!$F$11&lt;&gt;"",'Your debts'!$F$13&lt;&gt;"",'Your debts'!$F$11&lt;'Your debts'!$F$13),AG233,0)+IF(AND('Your debts'!$F$12&lt;&gt;"",'Your debts'!$F$13&lt;&gt;"",'Your debts'!$F$12&lt;'Your debts'!$F$13),AL233,0)+IF(AND('Your debts'!$F$14&lt;&gt;"",'Your debts'!$F$13&lt;&gt;"",'Your debts'!$F$14&lt;'Your debts'!$F$13),AV233,0)+IF(AND('Your debts'!$F$15&lt;&gt;"",'Your debts'!$F$13&lt;&gt;"",'Your debts'!$F$15&lt;'Your debts'!$F$13),BA233,0)))))</f>
        <v/>
      </c>
      <c r="AS233" s="33">
        <f>AQ233-AR233</f>
        <v/>
      </c>
      <c r="AT233" s="33">
        <f>IF(AX232&lt;=0,0,ROUND(AX232*(1+'Your debts'!$D$14/1200),2))</f>
        <v/>
      </c>
      <c r="AU233" s="33">
        <f>IF(AT233&lt;=0,0,MIN('Your debts'!$E$14,AT233))</f>
        <v/>
      </c>
      <c r="AV233" s="33">
        <f>AT233-AU233</f>
        <v/>
      </c>
      <c r="AW233" s="33">
        <f>IF('Your debts'!$F$14="",0,MIN(AV233,MAX(0,MAX(0,'Your debts'!$C$19-(G233+L233+Q233+V233+AA233+AF233+AK233+AP233+AU233+AZ233))-(IF(AND('Your debts'!$F$6&lt;&gt;"",'Your debts'!$F$14&lt;&gt;"",'Your debts'!$F$6&lt;'Your debts'!$F$14),H233,0)+IF(AND('Your debts'!$F$7&lt;&gt;"",'Your debts'!$F$14&lt;&gt;"",'Your debts'!$F$7&lt;'Your debts'!$F$14),M233,0)+IF(AND('Your debts'!$F$8&lt;&gt;"",'Your debts'!$F$14&lt;&gt;"",'Your debts'!$F$8&lt;'Your debts'!$F$14),R233,0)+IF(AND('Your debts'!$F$9&lt;&gt;"",'Your debts'!$F$14&lt;&gt;"",'Your debts'!$F$9&lt;'Your debts'!$F$14),W233,0)+IF(AND('Your debts'!$F$10&lt;&gt;"",'Your debts'!$F$14&lt;&gt;"",'Your debts'!$F$10&lt;'Your debts'!$F$14),AB233,0)+IF(AND('Your debts'!$F$11&lt;&gt;"",'Your debts'!$F$14&lt;&gt;"",'Your debts'!$F$11&lt;'Your debts'!$F$14),AG233,0)+IF(AND('Your debts'!$F$12&lt;&gt;"",'Your debts'!$F$14&lt;&gt;"",'Your debts'!$F$12&lt;'Your debts'!$F$14),AL233,0)+IF(AND('Your debts'!$F$13&lt;&gt;"",'Your debts'!$F$14&lt;&gt;"",'Your debts'!$F$13&lt;'Your debts'!$F$14),AQ233,0)+IF(AND('Your debts'!$F$15&lt;&gt;"",'Your debts'!$F$14&lt;&gt;"",'Your debts'!$F$15&lt;'Your debts'!$F$14),BA233,0)))))</f>
        <v/>
      </c>
      <c r="AX233" s="33">
        <f>AV233-AW233</f>
        <v/>
      </c>
      <c r="AY233" s="33">
        <f>IF(BC232&lt;=0,0,ROUND(BC232*(1+'Your debts'!$D$15/1200),2))</f>
        <v/>
      </c>
      <c r="AZ233" s="33">
        <f>IF(AY233&lt;=0,0,MIN('Your debts'!$E$15,AY233))</f>
        <v/>
      </c>
      <c r="BA233" s="33">
        <f>AY233-AZ233</f>
        <v/>
      </c>
      <c r="BB233" s="33">
        <f>IF('Your debts'!$F$15="",0,MIN(BA233,MAX(0,MAX(0,'Your debts'!$C$19-(G233+L233+Q233+V233+AA233+AF233+AK233+AP233+AU233+AZ233))-(IF(AND('Your debts'!$F$6&lt;&gt;"",'Your debts'!$F$15&lt;&gt;"",'Your debts'!$F$6&lt;'Your debts'!$F$15),H233,0)+IF(AND('Your debts'!$F$7&lt;&gt;"",'Your debts'!$F$15&lt;&gt;"",'Your debts'!$F$7&lt;'Your debts'!$F$15),M233,0)+IF(AND('Your debts'!$F$8&lt;&gt;"",'Your debts'!$F$15&lt;&gt;"",'Your debts'!$F$8&lt;'Your debts'!$F$15),R233,0)+IF(AND('Your debts'!$F$9&lt;&gt;"",'Your debts'!$F$15&lt;&gt;"",'Your debts'!$F$9&lt;'Your debts'!$F$15),W233,0)+IF(AND('Your debts'!$F$10&lt;&gt;"",'Your debts'!$F$15&lt;&gt;"",'Your debts'!$F$10&lt;'Your debts'!$F$15),AB233,0)+IF(AND('Your debts'!$F$11&lt;&gt;"",'Your debts'!$F$15&lt;&gt;"",'Your debts'!$F$11&lt;'Your debts'!$F$15),AG233,0)+IF(AND('Your debts'!$F$12&lt;&gt;"",'Your debts'!$F$15&lt;&gt;"",'Your debts'!$F$12&lt;'Your debts'!$F$15),AL233,0)+IF(AND('Your debts'!$F$13&lt;&gt;"",'Your debts'!$F$15&lt;&gt;"",'Your debts'!$F$13&lt;'Your debts'!$F$15),AQ233,0)+IF(AND('Your debts'!$F$14&lt;&gt;"",'Your debts'!$F$15&lt;&gt;"",'Your debts'!$F$14&lt;'Your debts'!$F$15),AV233,0)))))</f>
        <v/>
      </c>
      <c r="BC233" s="33">
        <f>BA233-BB233</f>
        <v/>
      </c>
    </row>
    <row r="234">
      <c r="A234" s="30" t="n">
        <v>219</v>
      </c>
      <c r="B234" s="31">
        <f>EDATE($B$15,219)</f>
        <v/>
      </c>
      <c r="C234" s="32">
        <f>IF(J233&lt;=0,0,F234-J233)+IF(O233&lt;=0,0,K234-O233)+IF(T233&lt;=0,0,P234-T233)+IF(Y233&lt;=0,0,U234-Y233)+IF(AD233&lt;=0,0,Z234-AD233)+IF(AI233&lt;=0,0,AE234-AI233)+IF(AN233&lt;=0,0,AJ234-AN233)+IF(AS233&lt;=0,0,AO234-AS233)+IF(AX233&lt;=0,0,AT234-AX233)+IF(BC233&lt;=0,0,AY234-BC233)</f>
        <v/>
      </c>
      <c r="D234" s="32">
        <f>G234+I234+L234+N234+Q234+S234+V234+X234+AA234+AC234+AF234+AH234+AK234+AM234+AP234+AR234+AU234+AW234+AZ234+BB234</f>
        <v/>
      </c>
      <c r="E234" s="32">
        <f>J234+O234+T234+Y234+AD234+AI234+AN234+AS234+AX234+BC234</f>
        <v/>
      </c>
      <c r="F234" s="33">
        <f>IF(J233&lt;=0,0,ROUND(J233*(1+'Your debts'!$D$6/1200),2))</f>
        <v/>
      </c>
      <c r="G234" s="33">
        <f>IF(F234&lt;=0,0,MIN('Your debts'!$E$6,F234))</f>
        <v/>
      </c>
      <c r="H234" s="33">
        <f>F234-G234</f>
        <v/>
      </c>
      <c r="I234" s="33">
        <f>IF('Your debts'!$F$6="",0,MIN(H234,MAX(0,MAX(0,'Your debts'!$C$19-(G234+L234+Q234+V234+AA234+AF234+AK234+AP234+AU234+AZ234))-(IF(AND('Your debts'!$F$7&lt;&gt;"",'Your debts'!$F$6&lt;&gt;"",'Your debts'!$F$7&lt;'Your debts'!$F$6),M234,0)+IF(AND('Your debts'!$F$8&lt;&gt;"",'Your debts'!$F$6&lt;&gt;"",'Your debts'!$F$8&lt;'Your debts'!$F$6),R234,0)+IF(AND('Your debts'!$F$9&lt;&gt;"",'Your debts'!$F$6&lt;&gt;"",'Your debts'!$F$9&lt;'Your debts'!$F$6),W234,0)+IF(AND('Your debts'!$F$10&lt;&gt;"",'Your debts'!$F$6&lt;&gt;"",'Your debts'!$F$10&lt;'Your debts'!$F$6),AB234,0)+IF(AND('Your debts'!$F$11&lt;&gt;"",'Your debts'!$F$6&lt;&gt;"",'Your debts'!$F$11&lt;'Your debts'!$F$6),AG234,0)+IF(AND('Your debts'!$F$12&lt;&gt;"",'Your debts'!$F$6&lt;&gt;"",'Your debts'!$F$12&lt;'Your debts'!$F$6),AL234,0)+IF(AND('Your debts'!$F$13&lt;&gt;"",'Your debts'!$F$6&lt;&gt;"",'Your debts'!$F$13&lt;'Your debts'!$F$6),AQ234,0)+IF(AND('Your debts'!$F$14&lt;&gt;"",'Your debts'!$F$6&lt;&gt;"",'Your debts'!$F$14&lt;'Your debts'!$F$6),AV234,0)+IF(AND('Your debts'!$F$15&lt;&gt;"",'Your debts'!$F$6&lt;&gt;"",'Your debts'!$F$15&lt;'Your debts'!$F$6),BA234,0)))))</f>
        <v/>
      </c>
      <c r="J234" s="33">
        <f>H234-I234</f>
        <v/>
      </c>
      <c r="K234" s="33">
        <f>IF(O233&lt;=0,0,ROUND(O233*(1+'Your debts'!$D$7/1200),2))</f>
        <v/>
      </c>
      <c r="L234" s="33">
        <f>IF(K234&lt;=0,0,MIN('Your debts'!$E$7,K234))</f>
        <v/>
      </c>
      <c r="M234" s="33">
        <f>K234-L234</f>
        <v/>
      </c>
      <c r="N234" s="33">
        <f>IF('Your debts'!$F$7="",0,MIN(M234,MAX(0,MAX(0,'Your debts'!$C$19-(G234+L234+Q234+V234+AA234+AF234+AK234+AP234+AU234+AZ234))-(IF(AND('Your debts'!$F$6&lt;&gt;"",'Your debts'!$F$7&lt;&gt;"",'Your debts'!$F$6&lt;'Your debts'!$F$7),H234,0)+IF(AND('Your debts'!$F$8&lt;&gt;"",'Your debts'!$F$7&lt;&gt;"",'Your debts'!$F$8&lt;'Your debts'!$F$7),R234,0)+IF(AND('Your debts'!$F$9&lt;&gt;"",'Your debts'!$F$7&lt;&gt;"",'Your debts'!$F$9&lt;'Your debts'!$F$7),W234,0)+IF(AND('Your debts'!$F$10&lt;&gt;"",'Your debts'!$F$7&lt;&gt;"",'Your debts'!$F$10&lt;'Your debts'!$F$7),AB234,0)+IF(AND('Your debts'!$F$11&lt;&gt;"",'Your debts'!$F$7&lt;&gt;"",'Your debts'!$F$11&lt;'Your debts'!$F$7),AG234,0)+IF(AND('Your debts'!$F$12&lt;&gt;"",'Your debts'!$F$7&lt;&gt;"",'Your debts'!$F$12&lt;'Your debts'!$F$7),AL234,0)+IF(AND('Your debts'!$F$13&lt;&gt;"",'Your debts'!$F$7&lt;&gt;"",'Your debts'!$F$13&lt;'Your debts'!$F$7),AQ234,0)+IF(AND('Your debts'!$F$14&lt;&gt;"",'Your debts'!$F$7&lt;&gt;"",'Your debts'!$F$14&lt;'Your debts'!$F$7),AV234,0)+IF(AND('Your debts'!$F$15&lt;&gt;"",'Your debts'!$F$7&lt;&gt;"",'Your debts'!$F$15&lt;'Your debts'!$F$7),BA234,0)))))</f>
        <v/>
      </c>
      <c r="O234" s="33">
        <f>M234-N234</f>
        <v/>
      </c>
      <c r="P234" s="33">
        <f>IF(T233&lt;=0,0,ROUND(T233*(1+'Your debts'!$D$8/1200),2))</f>
        <v/>
      </c>
      <c r="Q234" s="33">
        <f>IF(P234&lt;=0,0,MIN('Your debts'!$E$8,P234))</f>
        <v/>
      </c>
      <c r="R234" s="33">
        <f>P234-Q234</f>
        <v/>
      </c>
      <c r="S234" s="33">
        <f>IF('Your debts'!$F$8="",0,MIN(R234,MAX(0,MAX(0,'Your debts'!$C$19-(G234+L234+Q234+V234+AA234+AF234+AK234+AP234+AU234+AZ234))-(IF(AND('Your debts'!$F$6&lt;&gt;"",'Your debts'!$F$8&lt;&gt;"",'Your debts'!$F$6&lt;'Your debts'!$F$8),H234,0)+IF(AND('Your debts'!$F$7&lt;&gt;"",'Your debts'!$F$8&lt;&gt;"",'Your debts'!$F$7&lt;'Your debts'!$F$8),M234,0)+IF(AND('Your debts'!$F$9&lt;&gt;"",'Your debts'!$F$8&lt;&gt;"",'Your debts'!$F$9&lt;'Your debts'!$F$8),W234,0)+IF(AND('Your debts'!$F$10&lt;&gt;"",'Your debts'!$F$8&lt;&gt;"",'Your debts'!$F$10&lt;'Your debts'!$F$8),AB234,0)+IF(AND('Your debts'!$F$11&lt;&gt;"",'Your debts'!$F$8&lt;&gt;"",'Your debts'!$F$11&lt;'Your debts'!$F$8),AG234,0)+IF(AND('Your debts'!$F$12&lt;&gt;"",'Your debts'!$F$8&lt;&gt;"",'Your debts'!$F$12&lt;'Your debts'!$F$8),AL234,0)+IF(AND('Your debts'!$F$13&lt;&gt;"",'Your debts'!$F$8&lt;&gt;"",'Your debts'!$F$13&lt;'Your debts'!$F$8),AQ234,0)+IF(AND('Your debts'!$F$14&lt;&gt;"",'Your debts'!$F$8&lt;&gt;"",'Your debts'!$F$14&lt;'Your debts'!$F$8),AV234,0)+IF(AND('Your debts'!$F$15&lt;&gt;"",'Your debts'!$F$8&lt;&gt;"",'Your debts'!$F$15&lt;'Your debts'!$F$8),BA234,0)))))</f>
        <v/>
      </c>
      <c r="T234" s="33">
        <f>R234-S234</f>
        <v/>
      </c>
      <c r="U234" s="33">
        <f>IF(Y233&lt;=0,0,ROUND(Y233*(1+'Your debts'!$D$9/1200),2))</f>
        <v/>
      </c>
      <c r="V234" s="33">
        <f>IF(U234&lt;=0,0,MIN('Your debts'!$E$9,U234))</f>
        <v/>
      </c>
      <c r="W234" s="33">
        <f>U234-V234</f>
        <v/>
      </c>
      <c r="X234" s="33">
        <f>IF('Your debts'!$F$9="",0,MIN(W234,MAX(0,MAX(0,'Your debts'!$C$19-(G234+L234+Q234+V234+AA234+AF234+AK234+AP234+AU234+AZ234))-(IF(AND('Your debts'!$F$6&lt;&gt;"",'Your debts'!$F$9&lt;&gt;"",'Your debts'!$F$6&lt;'Your debts'!$F$9),H234,0)+IF(AND('Your debts'!$F$7&lt;&gt;"",'Your debts'!$F$9&lt;&gt;"",'Your debts'!$F$7&lt;'Your debts'!$F$9),M234,0)+IF(AND('Your debts'!$F$8&lt;&gt;"",'Your debts'!$F$9&lt;&gt;"",'Your debts'!$F$8&lt;'Your debts'!$F$9),R234,0)+IF(AND('Your debts'!$F$10&lt;&gt;"",'Your debts'!$F$9&lt;&gt;"",'Your debts'!$F$10&lt;'Your debts'!$F$9),AB234,0)+IF(AND('Your debts'!$F$11&lt;&gt;"",'Your debts'!$F$9&lt;&gt;"",'Your debts'!$F$11&lt;'Your debts'!$F$9),AG234,0)+IF(AND('Your debts'!$F$12&lt;&gt;"",'Your debts'!$F$9&lt;&gt;"",'Your debts'!$F$12&lt;'Your debts'!$F$9),AL234,0)+IF(AND('Your debts'!$F$13&lt;&gt;"",'Your debts'!$F$9&lt;&gt;"",'Your debts'!$F$13&lt;'Your debts'!$F$9),AQ234,0)+IF(AND('Your debts'!$F$14&lt;&gt;"",'Your debts'!$F$9&lt;&gt;"",'Your debts'!$F$14&lt;'Your debts'!$F$9),AV234,0)+IF(AND('Your debts'!$F$15&lt;&gt;"",'Your debts'!$F$9&lt;&gt;"",'Your debts'!$F$15&lt;'Your debts'!$F$9),BA234,0)))))</f>
        <v/>
      </c>
      <c r="Y234" s="33">
        <f>W234-X234</f>
        <v/>
      </c>
      <c r="Z234" s="33">
        <f>IF(AD233&lt;=0,0,ROUND(AD233*(1+'Your debts'!$D$10/1200),2))</f>
        <v/>
      </c>
      <c r="AA234" s="33">
        <f>IF(Z234&lt;=0,0,MIN('Your debts'!$E$10,Z234))</f>
        <v/>
      </c>
      <c r="AB234" s="33">
        <f>Z234-AA234</f>
        <v/>
      </c>
      <c r="AC234" s="33">
        <f>IF('Your debts'!$F$10="",0,MIN(AB234,MAX(0,MAX(0,'Your debts'!$C$19-(G234+L234+Q234+V234+AA234+AF234+AK234+AP234+AU234+AZ234))-(IF(AND('Your debts'!$F$6&lt;&gt;"",'Your debts'!$F$10&lt;&gt;"",'Your debts'!$F$6&lt;'Your debts'!$F$10),H234,0)+IF(AND('Your debts'!$F$7&lt;&gt;"",'Your debts'!$F$10&lt;&gt;"",'Your debts'!$F$7&lt;'Your debts'!$F$10),M234,0)+IF(AND('Your debts'!$F$8&lt;&gt;"",'Your debts'!$F$10&lt;&gt;"",'Your debts'!$F$8&lt;'Your debts'!$F$10),R234,0)+IF(AND('Your debts'!$F$9&lt;&gt;"",'Your debts'!$F$10&lt;&gt;"",'Your debts'!$F$9&lt;'Your debts'!$F$10),W234,0)+IF(AND('Your debts'!$F$11&lt;&gt;"",'Your debts'!$F$10&lt;&gt;"",'Your debts'!$F$11&lt;'Your debts'!$F$10),AG234,0)+IF(AND('Your debts'!$F$12&lt;&gt;"",'Your debts'!$F$10&lt;&gt;"",'Your debts'!$F$12&lt;'Your debts'!$F$10),AL234,0)+IF(AND('Your debts'!$F$13&lt;&gt;"",'Your debts'!$F$10&lt;&gt;"",'Your debts'!$F$13&lt;'Your debts'!$F$10),AQ234,0)+IF(AND('Your debts'!$F$14&lt;&gt;"",'Your debts'!$F$10&lt;&gt;"",'Your debts'!$F$14&lt;'Your debts'!$F$10),AV234,0)+IF(AND('Your debts'!$F$15&lt;&gt;"",'Your debts'!$F$10&lt;&gt;"",'Your debts'!$F$15&lt;'Your debts'!$F$10),BA234,0)))))</f>
        <v/>
      </c>
      <c r="AD234" s="33">
        <f>AB234-AC234</f>
        <v/>
      </c>
      <c r="AE234" s="33">
        <f>IF(AI233&lt;=0,0,ROUND(AI233*(1+'Your debts'!$D$11/1200),2))</f>
        <v/>
      </c>
      <c r="AF234" s="33">
        <f>IF(AE234&lt;=0,0,MIN('Your debts'!$E$11,AE234))</f>
        <v/>
      </c>
      <c r="AG234" s="33">
        <f>AE234-AF234</f>
        <v/>
      </c>
      <c r="AH234" s="33">
        <f>IF('Your debts'!$F$11="",0,MIN(AG234,MAX(0,MAX(0,'Your debts'!$C$19-(G234+L234+Q234+V234+AA234+AF234+AK234+AP234+AU234+AZ234))-(IF(AND('Your debts'!$F$6&lt;&gt;"",'Your debts'!$F$11&lt;&gt;"",'Your debts'!$F$6&lt;'Your debts'!$F$11),H234,0)+IF(AND('Your debts'!$F$7&lt;&gt;"",'Your debts'!$F$11&lt;&gt;"",'Your debts'!$F$7&lt;'Your debts'!$F$11),M234,0)+IF(AND('Your debts'!$F$8&lt;&gt;"",'Your debts'!$F$11&lt;&gt;"",'Your debts'!$F$8&lt;'Your debts'!$F$11),R234,0)+IF(AND('Your debts'!$F$9&lt;&gt;"",'Your debts'!$F$11&lt;&gt;"",'Your debts'!$F$9&lt;'Your debts'!$F$11),W234,0)+IF(AND('Your debts'!$F$10&lt;&gt;"",'Your debts'!$F$11&lt;&gt;"",'Your debts'!$F$10&lt;'Your debts'!$F$11),AB234,0)+IF(AND('Your debts'!$F$12&lt;&gt;"",'Your debts'!$F$11&lt;&gt;"",'Your debts'!$F$12&lt;'Your debts'!$F$11),AL234,0)+IF(AND('Your debts'!$F$13&lt;&gt;"",'Your debts'!$F$11&lt;&gt;"",'Your debts'!$F$13&lt;'Your debts'!$F$11),AQ234,0)+IF(AND('Your debts'!$F$14&lt;&gt;"",'Your debts'!$F$11&lt;&gt;"",'Your debts'!$F$14&lt;'Your debts'!$F$11),AV234,0)+IF(AND('Your debts'!$F$15&lt;&gt;"",'Your debts'!$F$11&lt;&gt;"",'Your debts'!$F$15&lt;'Your debts'!$F$11),BA234,0)))))</f>
        <v/>
      </c>
      <c r="AI234" s="33">
        <f>AG234-AH234</f>
        <v/>
      </c>
      <c r="AJ234" s="33">
        <f>IF(AN233&lt;=0,0,ROUND(AN233*(1+'Your debts'!$D$12/1200),2))</f>
        <v/>
      </c>
      <c r="AK234" s="33">
        <f>IF(AJ234&lt;=0,0,MIN('Your debts'!$E$12,AJ234))</f>
        <v/>
      </c>
      <c r="AL234" s="33">
        <f>AJ234-AK234</f>
        <v/>
      </c>
      <c r="AM234" s="33">
        <f>IF('Your debts'!$F$12="",0,MIN(AL234,MAX(0,MAX(0,'Your debts'!$C$19-(G234+L234+Q234+V234+AA234+AF234+AK234+AP234+AU234+AZ234))-(IF(AND('Your debts'!$F$6&lt;&gt;"",'Your debts'!$F$12&lt;&gt;"",'Your debts'!$F$6&lt;'Your debts'!$F$12),H234,0)+IF(AND('Your debts'!$F$7&lt;&gt;"",'Your debts'!$F$12&lt;&gt;"",'Your debts'!$F$7&lt;'Your debts'!$F$12),M234,0)+IF(AND('Your debts'!$F$8&lt;&gt;"",'Your debts'!$F$12&lt;&gt;"",'Your debts'!$F$8&lt;'Your debts'!$F$12),R234,0)+IF(AND('Your debts'!$F$9&lt;&gt;"",'Your debts'!$F$12&lt;&gt;"",'Your debts'!$F$9&lt;'Your debts'!$F$12),W234,0)+IF(AND('Your debts'!$F$10&lt;&gt;"",'Your debts'!$F$12&lt;&gt;"",'Your debts'!$F$10&lt;'Your debts'!$F$12),AB234,0)+IF(AND('Your debts'!$F$11&lt;&gt;"",'Your debts'!$F$12&lt;&gt;"",'Your debts'!$F$11&lt;'Your debts'!$F$12),AG234,0)+IF(AND('Your debts'!$F$13&lt;&gt;"",'Your debts'!$F$12&lt;&gt;"",'Your debts'!$F$13&lt;'Your debts'!$F$12),AQ234,0)+IF(AND('Your debts'!$F$14&lt;&gt;"",'Your debts'!$F$12&lt;&gt;"",'Your debts'!$F$14&lt;'Your debts'!$F$12),AV234,0)+IF(AND('Your debts'!$F$15&lt;&gt;"",'Your debts'!$F$12&lt;&gt;"",'Your debts'!$F$15&lt;'Your debts'!$F$12),BA234,0)))))</f>
        <v/>
      </c>
      <c r="AN234" s="33">
        <f>AL234-AM234</f>
        <v/>
      </c>
      <c r="AO234" s="33">
        <f>IF(AS233&lt;=0,0,ROUND(AS233*(1+'Your debts'!$D$13/1200),2))</f>
        <v/>
      </c>
      <c r="AP234" s="33">
        <f>IF(AO234&lt;=0,0,MIN('Your debts'!$E$13,AO234))</f>
        <v/>
      </c>
      <c r="AQ234" s="33">
        <f>AO234-AP234</f>
        <v/>
      </c>
      <c r="AR234" s="33">
        <f>IF('Your debts'!$F$13="",0,MIN(AQ234,MAX(0,MAX(0,'Your debts'!$C$19-(G234+L234+Q234+V234+AA234+AF234+AK234+AP234+AU234+AZ234))-(IF(AND('Your debts'!$F$6&lt;&gt;"",'Your debts'!$F$13&lt;&gt;"",'Your debts'!$F$6&lt;'Your debts'!$F$13),H234,0)+IF(AND('Your debts'!$F$7&lt;&gt;"",'Your debts'!$F$13&lt;&gt;"",'Your debts'!$F$7&lt;'Your debts'!$F$13),M234,0)+IF(AND('Your debts'!$F$8&lt;&gt;"",'Your debts'!$F$13&lt;&gt;"",'Your debts'!$F$8&lt;'Your debts'!$F$13),R234,0)+IF(AND('Your debts'!$F$9&lt;&gt;"",'Your debts'!$F$13&lt;&gt;"",'Your debts'!$F$9&lt;'Your debts'!$F$13),W234,0)+IF(AND('Your debts'!$F$10&lt;&gt;"",'Your debts'!$F$13&lt;&gt;"",'Your debts'!$F$10&lt;'Your debts'!$F$13),AB234,0)+IF(AND('Your debts'!$F$11&lt;&gt;"",'Your debts'!$F$13&lt;&gt;"",'Your debts'!$F$11&lt;'Your debts'!$F$13),AG234,0)+IF(AND('Your debts'!$F$12&lt;&gt;"",'Your debts'!$F$13&lt;&gt;"",'Your debts'!$F$12&lt;'Your debts'!$F$13),AL234,0)+IF(AND('Your debts'!$F$14&lt;&gt;"",'Your debts'!$F$13&lt;&gt;"",'Your debts'!$F$14&lt;'Your debts'!$F$13),AV234,0)+IF(AND('Your debts'!$F$15&lt;&gt;"",'Your debts'!$F$13&lt;&gt;"",'Your debts'!$F$15&lt;'Your debts'!$F$13),BA234,0)))))</f>
        <v/>
      </c>
      <c r="AS234" s="33">
        <f>AQ234-AR234</f>
        <v/>
      </c>
      <c r="AT234" s="33">
        <f>IF(AX233&lt;=0,0,ROUND(AX233*(1+'Your debts'!$D$14/1200),2))</f>
        <v/>
      </c>
      <c r="AU234" s="33">
        <f>IF(AT234&lt;=0,0,MIN('Your debts'!$E$14,AT234))</f>
        <v/>
      </c>
      <c r="AV234" s="33">
        <f>AT234-AU234</f>
        <v/>
      </c>
      <c r="AW234" s="33">
        <f>IF('Your debts'!$F$14="",0,MIN(AV234,MAX(0,MAX(0,'Your debts'!$C$19-(G234+L234+Q234+V234+AA234+AF234+AK234+AP234+AU234+AZ234))-(IF(AND('Your debts'!$F$6&lt;&gt;"",'Your debts'!$F$14&lt;&gt;"",'Your debts'!$F$6&lt;'Your debts'!$F$14),H234,0)+IF(AND('Your debts'!$F$7&lt;&gt;"",'Your debts'!$F$14&lt;&gt;"",'Your debts'!$F$7&lt;'Your debts'!$F$14),M234,0)+IF(AND('Your debts'!$F$8&lt;&gt;"",'Your debts'!$F$14&lt;&gt;"",'Your debts'!$F$8&lt;'Your debts'!$F$14),R234,0)+IF(AND('Your debts'!$F$9&lt;&gt;"",'Your debts'!$F$14&lt;&gt;"",'Your debts'!$F$9&lt;'Your debts'!$F$14),W234,0)+IF(AND('Your debts'!$F$10&lt;&gt;"",'Your debts'!$F$14&lt;&gt;"",'Your debts'!$F$10&lt;'Your debts'!$F$14),AB234,0)+IF(AND('Your debts'!$F$11&lt;&gt;"",'Your debts'!$F$14&lt;&gt;"",'Your debts'!$F$11&lt;'Your debts'!$F$14),AG234,0)+IF(AND('Your debts'!$F$12&lt;&gt;"",'Your debts'!$F$14&lt;&gt;"",'Your debts'!$F$12&lt;'Your debts'!$F$14),AL234,0)+IF(AND('Your debts'!$F$13&lt;&gt;"",'Your debts'!$F$14&lt;&gt;"",'Your debts'!$F$13&lt;'Your debts'!$F$14),AQ234,0)+IF(AND('Your debts'!$F$15&lt;&gt;"",'Your debts'!$F$14&lt;&gt;"",'Your debts'!$F$15&lt;'Your debts'!$F$14),BA234,0)))))</f>
        <v/>
      </c>
      <c r="AX234" s="33">
        <f>AV234-AW234</f>
        <v/>
      </c>
      <c r="AY234" s="33">
        <f>IF(BC233&lt;=0,0,ROUND(BC233*(1+'Your debts'!$D$15/1200),2))</f>
        <v/>
      </c>
      <c r="AZ234" s="33">
        <f>IF(AY234&lt;=0,0,MIN('Your debts'!$E$15,AY234))</f>
        <v/>
      </c>
      <c r="BA234" s="33">
        <f>AY234-AZ234</f>
        <v/>
      </c>
      <c r="BB234" s="33">
        <f>IF('Your debts'!$F$15="",0,MIN(BA234,MAX(0,MAX(0,'Your debts'!$C$19-(G234+L234+Q234+V234+AA234+AF234+AK234+AP234+AU234+AZ234))-(IF(AND('Your debts'!$F$6&lt;&gt;"",'Your debts'!$F$15&lt;&gt;"",'Your debts'!$F$6&lt;'Your debts'!$F$15),H234,0)+IF(AND('Your debts'!$F$7&lt;&gt;"",'Your debts'!$F$15&lt;&gt;"",'Your debts'!$F$7&lt;'Your debts'!$F$15),M234,0)+IF(AND('Your debts'!$F$8&lt;&gt;"",'Your debts'!$F$15&lt;&gt;"",'Your debts'!$F$8&lt;'Your debts'!$F$15),R234,0)+IF(AND('Your debts'!$F$9&lt;&gt;"",'Your debts'!$F$15&lt;&gt;"",'Your debts'!$F$9&lt;'Your debts'!$F$15),W234,0)+IF(AND('Your debts'!$F$10&lt;&gt;"",'Your debts'!$F$15&lt;&gt;"",'Your debts'!$F$10&lt;'Your debts'!$F$15),AB234,0)+IF(AND('Your debts'!$F$11&lt;&gt;"",'Your debts'!$F$15&lt;&gt;"",'Your debts'!$F$11&lt;'Your debts'!$F$15),AG234,0)+IF(AND('Your debts'!$F$12&lt;&gt;"",'Your debts'!$F$15&lt;&gt;"",'Your debts'!$F$12&lt;'Your debts'!$F$15),AL234,0)+IF(AND('Your debts'!$F$13&lt;&gt;"",'Your debts'!$F$15&lt;&gt;"",'Your debts'!$F$13&lt;'Your debts'!$F$15),AQ234,0)+IF(AND('Your debts'!$F$14&lt;&gt;"",'Your debts'!$F$15&lt;&gt;"",'Your debts'!$F$14&lt;'Your debts'!$F$15),AV234,0)))))</f>
        <v/>
      </c>
      <c r="BC234" s="33">
        <f>BA234-BB234</f>
        <v/>
      </c>
    </row>
    <row r="235">
      <c r="A235" s="30" t="n">
        <v>220</v>
      </c>
      <c r="B235" s="31">
        <f>EDATE($B$15,220)</f>
        <v/>
      </c>
      <c r="C235" s="32">
        <f>IF(J234&lt;=0,0,F235-J234)+IF(O234&lt;=0,0,K235-O234)+IF(T234&lt;=0,0,P235-T234)+IF(Y234&lt;=0,0,U235-Y234)+IF(AD234&lt;=0,0,Z235-AD234)+IF(AI234&lt;=0,0,AE235-AI234)+IF(AN234&lt;=0,0,AJ235-AN234)+IF(AS234&lt;=0,0,AO235-AS234)+IF(AX234&lt;=0,0,AT235-AX234)+IF(BC234&lt;=0,0,AY235-BC234)</f>
        <v/>
      </c>
      <c r="D235" s="32">
        <f>G235+I235+L235+N235+Q235+S235+V235+X235+AA235+AC235+AF235+AH235+AK235+AM235+AP235+AR235+AU235+AW235+AZ235+BB235</f>
        <v/>
      </c>
      <c r="E235" s="32">
        <f>J235+O235+T235+Y235+AD235+AI235+AN235+AS235+AX235+BC235</f>
        <v/>
      </c>
      <c r="F235" s="33">
        <f>IF(J234&lt;=0,0,ROUND(J234*(1+'Your debts'!$D$6/1200),2))</f>
        <v/>
      </c>
      <c r="G235" s="33">
        <f>IF(F235&lt;=0,0,MIN('Your debts'!$E$6,F235))</f>
        <v/>
      </c>
      <c r="H235" s="33">
        <f>F235-G235</f>
        <v/>
      </c>
      <c r="I235" s="33">
        <f>IF('Your debts'!$F$6="",0,MIN(H235,MAX(0,MAX(0,'Your debts'!$C$19-(G235+L235+Q235+V235+AA235+AF235+AK235+AP235+AU235+AZ235))-(IF(AND('Your debts'!$F$7&lt;&gt;"",'Your debts'!$F$6&lt;&gt;"",'Your debts'!$F$7&lt;'Your debts'!$F$6),M235,0)+IF(AND('Your debts'!$F$8&lt;&gt;"",'Your debts'!$F$6&lt;&gt;"",'Your debts'!$F$8&lt;'Your debts'!$F$6),R235,0)+IF(AND('Your debts'!$F$9&lt;&gt;"",'Your debts'!$F$6&lt;&gt;"",'Your debts'!$F$9&lt;'Your debts'!$F$6),W235,0)+IF(AND('Your debts'!$F$10&lt;&gt;"",'Your debts'!$F$6&lt;&gt;"",'Your debts'!$F$10&lt;'Your debts'!$F$6),AB235,0)+IF(AND('Your debts'!$F$11&lt;&gt;"",'Your debts'!$F$6&lt;&gt;"",'Your debts'!$F$11&lt;'Your debts'!$F$6),AG235,0)+IF(AND('Your debts'!$F$12&lt;&gt;"",'Your debts'!$F$6&lt;&gt;"",'Your debts'!$F$12&lt;'Your debts'!$F$6),AL235,0)+IF(AND('Your debts'!$F$13&lt;&gt;"",'Your debts'!$F$6&lt;&gt;"",'Your debts'!$F$13&lt;'Your debts'!$F$6),AQ235,0)+IF(AND('Your debts'!$F$14&lt;&gt;"",'Your debts'!$F$6&lt;&gt;"",'Your debts'!$F$14&lt;'Your debts'!$F$6),AV235,0)+IF(AND('Your debts'!$F$15&lt;&gt;"",'Your debts'!$F$6&lt;&gt;"",'Your debts'!$F$15&lt;'Your debts'!$F$6),BA235,0)))))</f>
        <v/>
      </c>
      <c r="J235" s="33">
        <f>H235-I235</f>
        <v/>
      </c>
      <c r="K235" s="33">
        <f>IF(O234&lt;=0,0,ROUND(O234*(1+'Your debts'!$D$7/1200),2))</f>
        <v/>
      </c>
      <c r="L235" s="33">
        <f>IF(K235&lt;=0,0,MIN('Your debts'!$E$7,K235))</f>
        <v/>
      </c>
      <c r="M235" s="33">
        <f>K235-L235</f>
        <v/>
      </c>
      <c r="N235" s="33">
        <f>IF('Your debts'!$F$7="",0,MIN(M235,MAX(0,MAX(0,'Your debts'!$C$19-(G235+L235+Q235+V235+AA235+AF235+AK235+AP235+AU235+AZ235))-(IF(AND('Your debts'!$F$6&lt;&gt;"",'Your debts'!$F$7&lt;&gt;"",'Your debts'!$F$6&lt;'Your debts'!$F$7),H235,0)+IF(AND('Your debts'!$F$8&lt;&gt;"",'Your debts'!$F$7&lt;&gt;"",'Your debts'!$F$8&lt;'Your debts'!$F$7),R235,0)+IF(AND('Your debts'!$F$9&lt;&gt;"",'Your debts'!$F$7&lt;&gt;"",'Your debts'!$F$9&lt;'Your debts'!$F$7),W235,0)+IF(AND('Your debts'!$F$10&lt;&gt;"",'Your debts'!$F$7&lt;&gt;"",'Your debts'!$F$10&lt;'Your debts'!$F$7),AB235,0)+IF(AND('Your debts'!$F$11&lt;&gt;"",'Your debts'!$F$7&lt;&gt;"",'Your debts'!$F$11&lt;'Your debts'!$F$7),AG235,0)+IF(AND('Your debts'!$F$12&lt;&gt;"",'Your debts'!$F$7&lt;&gt;"",'Your debts'!$F$12&lt;'Your debts'!$F$7),AL235,0)+IF(AND('Your debts'!$F$13&lt;&gt;"",'Your debts'!$F$7&lt;&gt;"",'Your debts'!$F$13&lt;'Your debts'!$F$7),AQ235,0)+IF(AND('Your debts'!$F$14&lt;&gt;"",'Your debts'!$F$7&lt;&gt;"",'Your debts'!$F$14&lt;'Your debts'!$F$7),AV235,0)+IF(AND('Your debts'!$F$15&lt;&gt;"",'Your debts'!$F$7&lt;&gt;"",'Your debts'!$F$15&lt;'Your debts'!$F$7),BA235,0)))))</f>
        <v/>
      </c>
      <c r="O235" s="33">
        <f>M235-N235</f>
        <v/>
      </c>
      <c r="P235" s="33">
        <f>IF(T234&lt;=0,0,ROUND(T234*(1+'Your debts'!$D$8/1200),2))</f>
        <v/>
      </c>
      <c r="Q235" s="33">
        <f>IF(P235&lt;=0,0,MIN('Your debts'!$E$8,P235))</f>
        <v/>
      </c>
      <c r="R235" s="33">
        <f>P235-Q235</f>
        <v/>
      </c>
      <c r="S235" s="33">
        <f>IF('Your debts'!$F$8="",0,MIN(R235,MAX(0,MAX(0,'Your debts'!$C$19-(G235+L235+Q235+V235+AA235+AF235+AK235+AP235+AU235+AZ235))-(IF(AND('Your debts'!$F$6&lt;&gt;"",'Your debts'!$F$8&lt;&gt;"",'Your debts'!$F$6&lt;'Your debts'!$F$8),H235,0)+IF(AND('Your debts'!$F$7&lt;&gt;"",'Your debts'!$F$8&lt;&gt;"",'Your debts'!$F$7&lt;'Your debts'!$F$8),M235,0)+IF(AND('Your debts'!$F$9&lt;&gt;"",'Your debts'!$F$8&lt;&gt;"",'Your debts'!$F$9&lt;'Your debts'!$F$8),W235,0)+IF(AND('Your debts'!$F$10&lt;&gt;"",'Your debts'!$F$8&lt;&gt;"",'Your debts'!$F$10&lt;'Your debts'!$F$8),AB235,0)+IF(AND('Your debts'!$F$11&lt;&gt;"",'Your debts'!$F$8&lt;&gt;"",'Your debts'!$F$11&lt;'Your debts'!$F$8),AG235,0)+IF(AND('Your debts'!$F$12&lt;&gt;"",'Your debts'!$F$8&lt;&gt;"",'Your debts'!$F$12&lt;'Your debts'!$F$8),AL235,0)+IF(AND('Your debts'!$F$13&lt;&gt;"",'Your debts'!$F$8&lt;&gt;"",'Your debts'!$F$13&lt;'Your debts'!$F$8),AQ235,0)+IF(AND('Your debts'!$F$14&lt;&gt;"",'Your debts'!$F$8&lt;&gt;"",'Your debts'!$F$14&lt;'Your debts'!$F$8),AV235,0)+IF(AND('Your debts'!$F$15&lt;&gt;"",'Your debts'!$F$8&lt;&gt;"",'Your debts'!$F$15&lt;'Your debts'!$F$8),BA235,0)))))</f>
        <v/>
      </c>
      <c r="T235" s="33">
        <f>R235-S235</f>
        <v/>
      </c>
      <c r="U235" s="33">
        <f>IF(Y234&lt;=0,0,ROUND(Y234*(1+'Your debts'!$D$9/1200),2))</f>
        <v/>
      </c>
      <c r="V235" s="33">
        <f>IF(U235&lt;=0,0,MIN('Your debts'!$E$9,U235))</f>
        <v/>
      </c>
      <c r="W235" s="33">
        <f>U235-V235</f>
        <v/>
      </c>
      <c r="X235" s="33">
        <f>IF('Your debts'!$F$9="",0,MIN(W235,MAX(0,MAX(0,'Your debts'!$C$19-(G235+L235+Q235+V235+AA235+AF235+AK235+AP235+AU235+AZ235))-(IF(AND('Your debts'!$F$6&lt;&gt;"",'Your debts'!$F$9&lt;&gt;"",'Your debts'!$F$6&lt;'Your debts'!$F$9),H235,0)+IF(AND('Your debts'!$F$7&lt;&gt;"",'Your debts'!$F$9&lt;&gt;"",'Your debts'!$F$7&lt;'Your debts'!$F$9),M235,0)+IF(AND('Your debts'!$F$8&lt;&gt;"",'Your debts'!$F$9&lt;&gt;"",'Your debts'!$F$8&lt;'Your debts'!$F$9),R235,0)+IF(AND('Your debts'!$F$10&lt;&gt;"",'Your debts'!$F$9&lt;&gt;"",'Your debts'!$F$10&lt;'Your debts'!$F$9),AB235,0)+IF(AND('Your debts'!$F$11&lt;&gt;"",'Your debts'!$F$9&lt;&gt;"",'Your debts'!$F$11&lt;'Your debts'!$F$9),AG235,0)+IF(AND('Your debts'!$F$12&lt;&gt;"",'Your debts'!$F$9&lt;&gt;"",'Your debts'!$F$12&lt;'Your debts'!$F$9),AL235,0)+IF(AND('Your debts'!$F$13&lt;&gt;"",'Your debts'!$F$9&lt;&gt;"",'Your debts'!$F$13&lt;'Your debts'!$F$9),AQ235,0)+IF(AND('Your debts'!$F$14&lt;&gt;"",'Your debts'!$F$9&lt;&gt;"",'Your debts'!$F$14&lt;'Your debts'!$F$9),AV235,0)+IF(AND('Your debts'!$F$15&lt;&gt;"",'Your debts'!$F$9&lt;&gt;"",'Your debts'!$F$15&lt;'Your debts'!$F$9),BA235,0)))))</f>
        <v/>
      </c>
      <c r="Y235" s="33">
        <f>W235-X235</f>
        <v/>
      </c>
      <c r="Z235" s="33">
        <f>IF(AD234&lt;=0,0,ROUND(AD234*(1+'Your debts'!$D$10/1200),2))</f>
        <v/>
      </c>
      <c r="AA235" s="33">
        <f>IF(Z235&lt;=0,0,MIN('Your debts'!$E$10,Z235))</f>
        <v/>
      </c>
      <c r="AB235" s="33">
        <f>Z235-AA235</f>
        <v/>
      </c>
      <c r="AC235" s="33">
        <f>IF('Your debts'!$F$10="",0,MIN(AB235,MAX(0,MAX(0,'Your debts'!$C$19-(G235+L235+Q235+V235+AA235+AF235+AK235+AP235+AU235+AZ235))-(IF(AND('Your debts'!$F$6&lt;&gt;"",'Your debts'!$F$10&lt;&gt;"",'Your debts'!$F$6&lt;'Your debts'!$F$10),H235,0)+IF(AND('Your debts'!$F$7&lt;&gt;"",'Your debts'!$F$10&lt;&gt;"",'Your debts'!$F$7&lt;'Your debts'!$F$10),M235,0)+IF(AND('Your debts'!$F$8&lt;&gt;"",'Your debts'!$F$10&lt;&gt;"",'Your debts'!$F$8&lt;'Your debts'!$F$10),R235,0)+IF(AND('Your debts'!$F$9&lt;&gt;"",'Your debts'!$F$10&lt;&gt;"",'Your debts'!$F$9&lt;'Your debts'!$F$10),W235,0)+IF(AND('Your debts'!$F$11&lt;&gt;"",'Your debts'!$F$10&lt;&gt;"",'Your debts'!$F$11&lt;'Your debts'!$F$10),AG235,0)+IF(AND('Your debts'!$F$12&lt;&gt;"",'Your debts'!$F$10&lt;&gt;"",'Your debts'!$F$12&lt;'Your debts'!$F$10),AL235,0)+IF(AND('Your debts'!$F$13&lt;&gt;"",'Your debts'!$F$10&lt;&gt;"",'Your debts'!$F$13&lt;'Your debts'!$F$10),AQ235,0)+IF(AND('Your debts'!$F$14&lt;&gt;"",'Your debts'!$F$10&lt;&gt;"",'Your debts'!$F$14&lt;'Your debts'!$F$10),AV235,0)+IF(AND('Your debts'!$F$15&lt;&gt;"",'Your debts'!$F$10&lt;&gt;"",'Your debts'!$F$15&lt;'Your debts'!$F$10),BA235,0)))))</f>
        <v/>
      </c>
      <c r="AD235" s="33">
        <f>AB235-AC235</f>
        <v/>
      </c>
      <c r="AE235" s="33">
        <f>IF(AI234&lt;=0,0,ROUND(AI234*(1+'Your debts'!$D$11/1200),2))</f>
        <v/>
      </c>
      <c r="AF235" s="33">
        <f>IF(AE235&lt;=0,0,MIN('Your debts'!$E$11,AE235))</f>
        <v/>
      </c>
      <c r="AG235" s="33">
        <f>AE235-AF235</f>
        <v/>
      </c>
      <c r="AH235" s="33">
        <f>IF('Your debts'!$F$11="",0,MIN(AG235,MAX(0,MAX(0,'Your debts'!$C$19-(G235+L235+Q235+V235+AA235+AF235+AK235+AP235+AU235+AZ235))-(IF(AND('Your debts'!$F$6&lt;&gt;"",'Your debts'!$F$11&lt;&gt;"",'Your debts'!$F$6&lt;'Your debts'!$F$11),H235,0)+IF(AND('Your debts'!$F$7&lt;&gt;"",'Your debts'!$F$11&lt;&gt;"",'Your debts'!$F$7&lt;'Your debts'!$F$11),M235,0)+IF(AND('Your debts'!$F$8&lt;&gt;"",'Your debts'!$F$11&lt;&gt;"",'Your debts'!$F$8&lt;'Your debts'!$F$11),R235,0)+IF(AND('Your debts'!$F$9&lt;&gt;"",'Your debts'!$F$11&lt;&gt;"",'Your debts'!$F$9&lt;'Your debts'!$F$11),W235,0)+IF(AND('Your debts'!$F$10&lt;&gt;"",'Your debts'!$F$11&lt;&gt;"",'Your debts'!$F$10&lt;'Your debts'!$F$11),AB235,0)+IF(AND('Your debts'!$F$12&lt;&gt;"",'Your debts'!$F$11&lt;&gt;"",'Your debts'!$F$12&lt;'Your debts'!$F$11),AL235,0)+IF(AND('Your debts'!$F$13&lt;&gt;"",'Your debts'!$F$11&lt;&gt;"",'Your debts'!$F$13&lt;'Your debts'!$F$11),AQ235,0)+IF(AND('Your debts'!$F$14&lt;&gt;"",'Your debts'!$F$11&lt;&gt;"",'Your debts'!$F$14&lt;'Your debts'!$F$11),AV235,0)+IF(AND('Your debts'!$F$15&lt;&gt;"",'Your debts'!$F$11&lt;&gt;"",'Your debts'!$F$15&lt;'Your debts'!$F$11),BA235,0)))))</f>
        <v/>
      </c>
      <c r="AI235" s="33">
        <f>AG235-AH235</f>
        <v/>
      </c>
      <c r="AJ235" s="33">
        <f>IF(AN234&lt;=0,0,ROUND(AN234*(1+'Your debts'!$D$12/1200),2))</f>
        <v/>
      </c>
      <c r="AK235" s="33">
        <f>IF(AJ235&lt;=0,0,MIN('Your debts'!$E$12,AJ235))</f>
        <v/>
      </c>
      <c r="AL235" s="33">
        <f>AJ235-AK235</f>
        <v/>
      </c>
      <c r="AM235" s="33">
        <f>IF('Your debts'!$F$12="",0,MIN(AL235,MAX(0,MAX(0,'Your debts'!$C$19-(G235+L235+Q235+V235+AA235+AF235+AK235+AP235+AU235+AZ235))-(IF(AND('Your debts'!$F$6&lt;&gt;"",'Your debts'!$F$12&lt;&gt;"",'Your debts'!$F$6&lt;'Your debts'!$F$12),H235,0)+IF(AND('Your debts'!$F$7&lt;&gt;"",'Your debts'!$F$12&lt;&gt;"",'Your debts'!$F$7&lt;'Your debts'!$F$12),M235,0)+IF(AND('Your debts'!$F$8&lt;&gt;"",'Your debts'!$F$12&lt;&gt;"",'Your debts'!$F$8&lt;'Your debts'!$F$12),R235,0)+IF(AND('Your debts'!$F$9&lt;&gt;"",'Your debts'!$F$12&lt;&gt;"",'Your debts'!$F$9&lt;'Your debts'!$F$12),W235,0)+IF(AND('Your debts'!$F$10&lt;&gt;"",'Your debts'!$F$12&lt;&gt;"",'Your debts'!$F$10&lt;'Your debts'!$F$12),AB235,0)+IF(AND('Your debts'!$F$11&lt;&gt;"",'Your debts'!$F$12&lt;&gt;"",'Your debts'!$F$11&lt;'Your debts'!$F$12),AG235,0)+IF(AND('Your debts'!$F$13&lt;&gt;"",'Your debts'!$F$12&lt;&gt;"",'Your debts'!$F$13&lt;'Your debts'!$F$12),AQ235,0)+IF(AND('Your debts'!$F$14&lt;&gt;"",'Your debts'!$F$12&lt;&gt;"",'Your debts'!$F$14&lt;'Your debts'!$F$12),AV235,0)+IF(AND('Your debts'!$F$15&lt;&gt;"",'Your debts'!$F$12&lt;&gt;"",'Your debts'!$F$15&lt;'Your debts'!$F$12),BA235,0)))))</f>
        <v/>
      </c>
      <c r="AN235" s="33">
        <f>AL235-AM235</f>
        <v/>
      </c>
      <c r="AO235" s="33">
        <f>IF(AS234&lt;=0,0,ROUND(AS234*(1+'Your debts'!$D$13/1200),2))</f>
        <v/>
      </c>
      <c r="AP235" s="33">
        <f>IF(AO235&lt;=0,0,MIN('Your debts'!$E$13,AO235))</f>
        <v/>
      </c>
      <c r="AQ235" s="33">
        <f>AO235-AP235</f>
        <v/>
      </c>
      <c r="AR235" s="33">
        <f>IF('Your debts'!$F$13="",0,MIN(AQ235,MAX(0,MAX(0,'Your debts'!$C$19-(G235+L235+Q235+V235+AA235+AF235+AK235+AP235+AU235+AZ235))-(IF(AND('Your debts'!$F$6&lt;&gt;"",'Your debts'!$F$13&lt;&gt;"",'Your debts'!$F$6&lt;'Your debts'!$F$13),H235,0)+IF(AND('Your debts'!$F$7&lt;&gt;"",'Your debts'!$F$13&lt;&gt;"",'Your debts'!$F$7&lt;'Your debts'!$F$13),M235,0)+IF(AND('Your debts'!$F$8&lt;&gt;"",'Your debts'!$F$13&lt;&gt;"",'Your debts'!$F$8&lt;'Your debts'!$F$13),R235,0)+IF(AND('Your debts'!$F$9&lt;&gt;"",'Your debts'!$F$13&lt;&gt;"",'Your debts'!$F$9&lt;'Your debts'!$F$13),W235,0)+IF(AND('Your debts'!$F$10&lt;&gt;"",'Your debts'!$F$13&lt;&gt;"",'Your debts'!$F$10&lt;'Your debts'!$F$13),AB235,0)+IF(AND('Your debts'!$F$11&lt;&gt;"",'Your debts'!$F$13&lt;&gt;"",'Your debts'!$F$11&lt;'Your debts'!$F$13),AG235,0)+IF(AND('Your debts'!$F$12&lt;&gt;"",'Your debts'!$F$13&lt;&gt;"",'Your debts'!$F$12&lt;'Your debts'!$F$13),AL235,0)+IF(AND('Your debts'!$F$14&lt;&gt;"",'Your debts'!$F$13&lt;&gt;"",'Your debts'!$F$14&lt;'Your debts'!$F$13),AV235,0)+IF(AND('Your debts'!$F$15&lt;&gt;"",'Your debts'!$F$13&lt;&gt;"",'Your debts'!$F$15&lt;'Your debts'!$F$13),BA235,0)))))</f>
        <v/>
      </c>
      <c r="AS235" s="33">
        <f>AQ235-AR235</f>
        <v/>
      </c>
      <c r="AT235" s="33">
        <f>IF(AX234&lt;=0,0,ROUND(AX234*(1+'Your debts'!$D$14/1200),2))</f>
        <v/>
      </c>
      <c r="AU235" s="33">
        <f>IF(AT235&lt;=0,0,MIN('Your debts'!$E$14,AT235))</f>
        <v/>
      </c>
      <c r="AV235" s="33">
        <f>AT235-AU235</f>
        <v/>
      </c>
      <c r="AW235" s="33">
        <f>IF('Your debts'!$F$14="",0,MIN(AV235,MAX(0,MAX(0,'Your debts'!$C$19-(G235+L235+Q235+V235+AA235+AF235+AK235+AP235+AU235+AZ235))-(IF(AND('Your debts'!$F$6&lt;&gt;"",'Your debts'!$F$14&lt;&gt;"",'Your debts'!$F$6&lt;'Your debts'!$F$14),H235,0)+IF(AND('Your debts'!$F$7&lt;&gt;"",'Your debts'!$F$14&lt;&gt;"",'Your debts'!$F$7&lt;'Your debts'!$F$14),M235,0)+IF(AND('Your debts'!$F$8&lt;&gt;"",'Your debts'!$F$14&lt;&gt;"",'Your debts'!$F$8&lt;'Your debts'!$F$14),R235,0)+IF(AND('Your debts'!$F$9&lt;&gt;"",'Your debts'!$F$14&lt;&gt;"",'Your debts'!$F$9&lt;'Your debts'!$F$14),W235,0)+IF(AND('Your debts'!$F$10&lt;&gt;"",'Your debts'!$F$14&lt;&gt;"",'Your debts'!$F$10&lt;'Your debts'!$F$14),AB235,0)+IF(AND('Your debts'!$F$11&lt;&gt;"",'Your debts'!$F$14&lt;&gt;"",'Your debts'!$F$11&lt;'Your debts'!$F$14),AG235,0)+IF(AND('Your debts'!$F$12&lt;&gt;"",'Your debts'!$F$14&lt;&gt;"",'Your debts'!$F$12&lt;'Your debts'!$F$14),AL235,0)+IF(AND('Your debts'!$F$13&lt;&gt;"",'Your debts'!$F$14&lt;&gt;"",'Your debts'!$F$13&lt;'Your debts'!$F$14),AQ235,0)+IF(AND('Your debts'!$F$15&lt;&gt;"",'Your debts'!$F$14&lt;&gt;"",'Your debts'!$F$15&lt;'Your debts'!$F$14),BA235,0)))))</f>
        <v/>
      </c>
      <c r="AX235" s="33">
        <f>AV235-AW235</f>
        <v/>
      </c>
      <c r="AY235" s="33">
        <f>IF(BC234&lt;=0,0,ROUND(BC234*(1+'Your debts'!$D$15/1200),2))</f>
        <v/>
      </c>
      <c r="AZ235" s="33">
        <f>IF(AY235&lt;=0,0,MIN('Your debts'!$E$15,AY235))</f>
        <v/>
      </c>
      <c r="BA235" s="33">
        <f>AY235-AZ235</f>
        <v/>
      </c>
      <c r="BB235" s="33">
        <f>IF('Your debts'!$F$15="",0,MIN(BA235,MAX(0,MAX(0,'Your debts'!$C$19-(G235+L235+Q235+V235+AA235+AF235+AK235+AP235+AU235+AZ235))-(IF(AND('Your debts'!$F$6&lt;&gt;"",'Your debts'!$F$15&lt;&gt;"",'Your debts'!$F$6&lt;'Your debts'!$F$15),H235,0)+IF(AND('Your debts'!$F$7&lt;&gt;"",'Your debts'!$F$15&lt;&gt;"",'Your debts'!$F$7&lt;'Your debts'!$F$15),M235,0)+IF(AND('Your debts'!$F$8&lt;&gt;"",'Your debts'!$F$15&lt;&gt;"",'Your debts'!$F$8&lt;'Your debts'!$F$15),R235,0)+IF(AND('Your debts'!$F$9&lt;&gt;"",'Your debts'!$F$15&lt;&gt;"",'Your debts'!$F$9&lt;'Your debts'!$F$15),W235,0)+IF(AND('Your debts'!$F$10&lt;&gt;"",'Your debts'!$F$15&lt;&gt;"",'Your debts'!$F$10&lt;'Your debts'!$F$15),AB235,0)+IF(AND('Your debts'!$F$11&lt;&gt;"",'Your debts'!$F$15&lt;&gt;"",'Your debts'!$F$11&lt;'Your debts'!$F$15),AG235,0)+IF(AND('Your debts'!$F$12&lt;&gt;"",'Your debts'!$F$15&lt;&gt;"",'Your debts'!$F$12&lt;'Your debts'!$F$15),AL235,0)+IF(AND('Your debts'!$F$13&lt;&gt;"",'Your debts'!$F$15&lt;&gt;"",'Your debts'!$F$13&lt;'Your debts'!$F$15),AQ235,0)+IF(AND('Your debts'!$F$14&lt;&gt;"",'Your debts'!$F$15&lt;&gt;"",'Your debts'!$F$14&lt;'Your debts'!$F$15),AV235,0)))))</f>
        <v/>
      </c>
      <c r="BC235" s="33">
        <f>BA235-BB235</f>
        <v/>
      </c>
    </row>
    <row r="236">
      <c r="A236" s="30" t="n">
        <v>221</v>
      </c>
      <c r="B236" s="31">
        <f>EDATE($B$15,221)</f>
        <v/>
      </c>
      <c r="C236" s="32">
        <f>IF(J235&lt;=0,0,F236-J235)+IF(O235&lt;=0,0,K236-O235)+IF(T235&lt;=0,0,P236-T235)+IF(Y235&lt;=0,0,U236-Y235)+IF(AD235&lt;=0,0,Z236-AD235)+IF(AI235&lt;=0,0,AE236-AI235)+IF(AN235&lt;=0,0,AJ236-AN235)+IF(AS235&lt;=0,0,AO236-AS235)+IF(AX235&lt;=0,0,AT236-AX235)+IF(BC235&lt;=0,0,AY236-BC235)</f>
        <v/>
      </c>
      <c r="D236" s="32">
        <f>G236+I236+L236+N236+Q236+S236+V236+X236+AA236+AC236+AF236+AH236+AK236+AM236+AP236+AR236+AU236+AW236+AZ236+BB236</f>
        <v/>
      </c>
      <c r="E236" s="32">
        <f>J236+O236+T236+Y236+AD236+AI236+AN236+AS236+AX236+BC236</f>
        <v/>
      </c>
      <c r="F236" s="33">
        <f>IF(J235&lt;=0,0,ROUND(J235*(1+'Your debts'!$D$6/1200),2))</f>
        <v/>
      </c>
      <c r="G236" s="33">
        <f>IF(F236&lt;=0,0,MIN('Your debts'!$E$6,F236))</f>
        <v/>
      </c>
      <c r="H236" s="33">
        <f>F236-G236</f>
        <v/>
      </c>
      <c r="I236" s="33">
        <f>IF('Your debts'!$F$6="",0,MIN(H236,MAX(0,MAX(0,'Your debts'!$C$19-(G236+L236+Q236+V236+AA236+AF236+AK236+AP236+AU236+AZ236))-(IF(AND('Your debts'!$F$7&lt;&gt;"",'Your debts'!$F$6&lt;&gt;"",'Your debts'!$F$7&lt;'Your debts'!$F$6),M236,0)+IF(AND('Your debts'!$F$8&lt;&gt;"",'Your debts'!$F$6&lt;&gt;"",'Your debts'!$F$8&lt;'Your debts'!$F$6),R236,0)+IF(AND('Your debts'!$F$9&lt;&gt;"",'Your debts'!$F$6&lt;&gt;"",'Your debts'!$F$9&lt;'Your debts'!$F$6),W236,0)+IF(AND('Your debts'!$F$10&lt;&gt;"",'Your debts'!$F$6&lt;&gt;"",'Your debts'!$F$10&lt;'Your debts'!$F$6),AB236,0)+IF(AND('Your debts'!$F$11&lt;&gt;"",'Your debts'!$F$6&lt;&gt;"",'Your debts'!$F$11&lt;'Your debts'!$F$6),AG236,0)+IF(AND('Your debts'!$F$12&lt;&gt;"",'Your debts'!$F$6&lt;&gt;"",'Your debts'!$F$12&lt;'Your debts'!$F$6),AL236,0)+IF(AND('Your debts'!$F$13&lt;&gt;"",'Your debts'!$F$6&lt;&gt;"",'Your debts'!$F$13&lt;'Your debts'!$F$6),AQ236,0)+IF(AND('Your debts'!$F$14&lt;&gt;"",'Your debts'!$F$6&lt;&gt;"",'Your debts'!$F$14&lt;'Your debts'!$F$6),AV236,0)+IF(AND('Your debts'!$F$15&lt;&gt;"",'Your debts'!$F$6&lt;&gt;"",'Your debts'!$F$15&lt;'Your debts'!$F$6),BA236,0)))))</f>
        <v/>
      </c>
      <c r="J236" s="33">
        <f>H236-I236</f>
        <v/>
      </c>
      <c r="K236" s="33">
        <f>IF(O235&lt;=0,0,ROUND(O235*(1+'Your debts'!$D$7/1200),2))</f>
        <v/>
      </c>
      <c r="L236" s="33">
        <f>IF(K236&lt;=0,0,MIN('Your debts'!$E$7,K236))</f>
        <v/>
      </c>
      <c r="M236" s="33">
        <f>K236-L236</f>
        <v/>
      </c>
      <c r="N236" s="33">
        <f>IF('Your debts'!$F$7="",0,MIN(M236,MAX(0,MAX(0,'Your debts'!$C$19-(G236+L236+Q236+V236+AA236+AF236+AK236+AP236+AU236+AZ236))-(IF(AND('Your debts'!$F$6&lt;&gt;"",'Your debts'!$F$7&lt;&gt;"",'Your debts'!$F$6&lt;'Your debts'!$F$7),H236,0)+IF(AND('Your debts'!$F$8&lt;&gt;"",'Your debts'!$F$7&lt;&gt;"",'Your debts'!$F$8&lt;'Your debts'!$F$7),R236,0)+IF(AND('Your debts'!$F$9&lt;&gt;"",'Your debts'!$F$7&lt;&gt;"",'Your debts'!$F$9&lt;'Your debts'!$F$7),W236,0)+IF(AND('Your debts'!$F$10&lt;&gt;"",'Your debts'!$F$7&lt;&gt;"",'Your debts'!$F$10&lt;'Your debts'!$F$7),AB236,0)+IF(AND('Your debts'!$F$11&lt;&gt;"",'Your debts'!$F$7&lt;&gt;"",'Your debts'!$F$11&lt;'Your debts'!$F$7),AG236,0)+IF(AND('Your debts'!$F$12&lt;&gt;"",'Your debts'!$F$7&lt;&gt;"",'Your debts'!$F$12&lt;'Your debts'!$F$7),AL236,0)+IF(AND('Your debts'!$F$13&lt;&gt;"",'Your debts'!$F$7&lt;&gt;"",'Your debts'!$F$13&lt;'Your debts'!$F$7),AQ236,0)+IF(AND('Your debts'!$F$14&lt;&gt;"",'Your debts'!$F$7&lt;&gt;"",'Your debts'!$F$14&lt;'Your debts'!$F$7),AV236,0)+IF(AND('Your debts'!$F$15&lt;&gt;"",'Your debts'!$F$7&lt;&gt;"",'Your debts'!$F$15&lt;'Your debts'!$F$7),BA236,0)))))</f>
        <v/>
      </c>
      <c r="O236" s="33">
        <f>M236-N236</f>
        <v/>
      </c>
      <c r="P236" s="33">
        <f>IF(T235&lt;=0,0,ROUND(T235*(1+'Your debts'!$D$8/1200),2))</f>
        <v/>
      </c>
      <c r="Q236" s="33">
        <f>IF(P236&lt;=0,0,MIN('Your debts'!$E$8,P236))</f>
        <v/>
      </c>
      <c r="R236" s="33">
        <f>P236-Q236</f>
        <v/>
      </c>
      <c r="S236" s="33">
        <f>IF('Your debts'!$F$8="",0,MIN(R236,MAX(0,MAX(0,'Your debts'!$C$19-(G236+L236+Q236+V236+AA236+AF236+AK236+AP236+AU236+AZ236))-(IF(AND('Your debts'!$F$6&lt;&gt;"",'Your debts'!$F$8&lt;&gt;"",'Your debts'!$F$6&lt;'Your debts'!$F$8),H236,0)+IF(AND('Your debts'!$F$7&lt;&gt;"",'Your debts'!$F$8&lt;&gt;"",'Your debts'!$F$7&lt;'Your debts'!$F$8),M236,0)+IF(AND('Your debts'!$F$9&lt;&gt;"",'Your debts'!$F$8&lt;&gt;"",'Your debts'!$F$9&lt;'Your debts'!$F$8),W236,0)+IF(AND('Your debts'!$F$10&lt;&gt;"",'Your debts'!$F$8&lt;&gt;"",'Your debts'!$F$10&lt;'Your debts'!$F$8),AB236,0)+IF(AND('Your debts'!$F$11&lt;&gt;"",'Your debts'!$F$8&lt;&gt;"",'Your debts'!$F$11&lt;'Your debts'!$F$8),AG236,0)+IF(AND('Your debts'!$F$12&lt;&gt;"",'Your debts'!$F$8&lt;&gt;"",'Your debts'!$F$12&lt;'Your debts'!$F$8),AL236,0)+IF(AND('Your debts'!$F$13&lt;&gt;"",'Your debts'!$F$8&lt;&gt;"",'Your debts'!$F$13&lt;'Your debts'!$F$8),AQ236,0)+IF(AND('Your debts'!$F$14&lt;&gt;"",'Your debts'!$F$8&lt;&gt;"",'Your debts'!$F$14&lt;'Your debts'!$F$8),AV236,0)+IF(AND('Your debts'!$F$15&lt;&gt;"",'Your debts'!$F$8&lt;&gt;"",'Your debts'!$F$15&lt;'Your debts'!$F$8),BA236,0)))))</f>
        <v/>
      </c>
      <c r="T236" s="33">
        <f>R236-S236</f>
        <v/>
      </c>
      <c r="U236" s="33">
        <f>IF(Y235&lt;=0,0,ROUND(Y235*(1+'Your debts'!$D$9/1200),2))</f>
        <v/>
      </c>
      <c r="V236" s="33">
        <f>IF(U236&lt;=0,0,MIN('Your debts'!$E$9,U236))</f>
        <v/>
      </c>
      <c r="W236" s="33">
        <f>U236-V236</f>
        <v/>
      </c>
      <c r="X236" s="33">
        <f>IF('Your debts'!$F$9="",0,MIN(W236,MAX(0,MAX(0,'Your debts'!$C$19-(G236+L236+Q236+V236+AA236+AF236+AK236+AP236+AU236+AZ236))-(IF(AND('Your debts'!$F$6&lt;&gt;"",'Your debts'!$F$9&lt;&gt;"",'Your debts'!$F$6&lt;'Your debts'!$F$9),H236,0)+IF(AND('Your debts'!$F$7&lt;&gt;"",'Your debts'!$F$9&lt;&gt;"",'Your debts'!$F$7&lt;'Your debts'!$F$9),M236,0)+IF(AND('Your debts'!$F$8&lt;&gt;"",'Your debts'!$F$9&lt;&gt;"",'Your debts'!$F$8&lt;'Your debts'!$F$9),R236,0)+IF(AND('Your debts'!$F$10&lt;&gt;"",'Your debts'!$F$9&lt;&gt;"",'Your debts'!$F$10&lt;'Your debts'!$F$9),AB236,0)+IF(AND('Your debts'!$F$11&lt;&gt;"",'Your debts'!$F$9&lt;&gt;"",'Your debts'!$F$11&lt;'Your debts'!$F$9),AG236,0)+IF(AND('Your debts'!$F$12&lt;&gt;"",'Your debts'!$F$9&lt;&gt;"",'Your debts'!$F$12&lt;'Your debts'!$F$9),AL236,0)+IF(AND('Your debts'!$F$13&lt;&gt;"",'Your debts'!$F$9&lt;&gt;"",'Your debts'!$F$13&lt;'Your debts'!$F$9),AQ236,0)+IF(AND('Your debts'!$F$14&lt;&gt;"",'Your debts'!$F$9&lt;&gt;"",'Your debts'!$F$14&lt;'Your debts'!$F$9),AV236,0)+IF(AND('Your debts'!$F$15&lt;&gt;"",'Your debts'!$F$9&lt;&gt;"",'Your debts'!$F$15&lt;'Your debts'!$F$9),BA236,0)))))</f>
        <v/>
      </c>
      <c r="Y236" s="33">
        <f>W236-X236</f>
        <v/>
      </c>
      <c r="Z236" s="33">
        <f>IF(AD235&lt;=0,0,ROUND(AD235*(1+'Your debts'!$D$10/1200),2))</f>
        <v/>
      </c>
      <c r="AA236" s="33">
        <f>IF(Z236&lt;=0,0,MIN('Your debts'!$E$10,Z236))</f>
        <v/>
      </c>
      <c r="AB236" s="33">
        <f>Z236-AA236</f>
        <v/>
      </c>
      <c r="AC236" s="33">
        <f>IF('Your debts'!$F$10="",0,MIN(AB236,MAX(0,MAX(0,'Your debts'!$C$19-(G236+L236+Q236+V236+AA236+AF236+AK236+AP236+AU236+AZ236))-(IF(AND('Your debts'!$F$6&lt;&gt;"",'Your debts'!$F$10&lt;&gt;"",'Your debts'!$F$6&lt;'Your debts'!$F$10),H236,0)+IF(AND('Your debts'!$F$7&lt;&gt;"",'Your debts'!$F$10&lt;&gt;"",'Your debts'!$F$7&lt;'Your debts'!$F$10),M236,0)+IF(AND('Your debts'!$F$8&lt;&gt;"",'Your debts'!$F$10&lt;&gt;"",'Your debts'!$F$8&lt;'Your debts'!$F$10),R236,0)+IF(AND('Your debts'!$F$9&lt;&gt;"",'Your debts'!$F$10&lt;&gt;"",'Your debts'!$F$9&lt;'Your debts'!$F$10),W236,0)+IF(AND('Your debts'!$F$11&lt;&gt;"",'Your debts'!$F$10&lt;&gt;"",'Your debts'!$F$11&lt;'Your debts'!$F$10),AG236,0)+IF(AND('Your debts'!$F$12&lt;&gt;"",'Your debts'!$F$10&lt;&gt;"",'Your debts'!$F$12&lt;'Your debts'!$F$10),AL236,0)+IF(AND('Your debts'!$F$13&lt;&gt;"",'Your debts'!$F$10&lt;&gt;"",'Your debts'!$F$13&lt;'Your debts'!$F$10),AQ236,0)+IF(AND('Your debts'!$F$14&lt;&gt;"",'Your debts'!$F$10&lt;&gt;"",'Your debts'!$F$14&lt;'Your debts'!$F$10),AV236,0)+IF(AND('Your debts'!$F$15&lt;&gt;"",'Your debts'!$F$10&lt;&gt;"",'Your debts'!$F$15&lt;'Your debts'!$F$10),BA236,0)))))</f>
        <v/>
      </c>
      <c r="AD236" s="33">
        <f>AB236-AC236</f>
        <v/>
      </c>
      <c r="AE236" s="33">
        <f>IF(AI235&lt;=0,0,ROUND(AI235*(1+'Your debts'!$D$11/1200),2))</f>
        <v/>
      </c>
      <c r="AF236" s="33">
        <f>IF(AE236&lt;=0,0,MIN('Your debts'!$E$11,AE236))</f>
        <v/>
      </c>
      <c r="AG236" s="33">
        <f>AE236-AF236</f>
        <v/>
      </c>
      <c r="AH236" s="33">
        <f>IF('Your debts'!$F$11="",0,MIN(AG236,MAX(0,MAX(0,'Your debts'!$C$19-(G236+L236+Q236+V236+AA236+AF236+AK236+AP236+AU236+AZ236))-(IF(AND('Your debts'!$F$6&lt;&gt;"",'Your debts'!$F$11&lt;&gt;"",'Your debts'!$F$6&lt;'Your debts'!$F$11),H236,0)+IF(AND('Your debts'!$F$7&lt;&gt;"",'Your debts'!$F$11&lt;&gt;"",'Your debts'!$F$7&lt;'Your debts'!$F$11),M236,0)+IF(AND('Your debts'!$F$8&lt;&gt;"",'Your debts'!$F$11&lt;&gt;"",'Your debts'!$F$8&lt;'Your debts'!$F$11),R236,0)+IF(AND('Your debts'!$F$9&lt;&gt;"",'Your debts'!$F$11&lt;&gt;"",'Your debts'!$F$9&lt;'Your debts'!$F$11),W236,0)+IF(AND('Your debts'!$F$10&lt;&gt;"",'Your debts'!$F$11&lt;&gt;"",'Your debts'!$F$10&lt;'Your debts'!$F$11),AB236,0)+IF(AND('Your debts'!$F$12&lt;&gt;"",'Your debts'!$F$11&lt;&gt;"",'Your debts'!$F$12&lt;'Your debts'!$F$11),AL236,0)+IF(AND('Your debts'!$F$13&lt;&gt;"",'Your debts'!$F$11&lt;&gt;"",'Your debts'!$F$13&lt;'Your debts'!$F$11),AQ236,0)+IF(AND('Your debts'!$F$14&lt;&gt;"",'Your debts'!$F$11&lt;&gt;"",'Your debts'!$F$14&lt;'Your debts'!$F$11),AV236,0)+IF(AND('Your debts'!$F$15&lt;&gt;"",'Your debts'!$F$11&lt;&gt;"",'Your debts'!$F$15&lt;'Your debts'!$F$11),BA236,0)))))</f>
        <v/>
      </c>
      <c r="AI236" s="33">
        <f>AG236-AH236</f>
        <v/>
      </c>
      <c r="AJ236" s="33">
        <f>IF(AN235&lt;=0,0,ROUND(AN235*(1+'Your debts'!$D$12/1200),2))</f>
        <v/>
      </c>
      <c r="AK236" s="33">
        <f>IF(AJ236&lt;=0,0,MIN('Your debts'!$E$12,AJ236))</f>
        <v/>
      </c>
      <c r="AL236" s="33">
        <f>AJ236-AK236</f>
        <v/>
      </c>
      <c r="AM236" s="33">
        <f>IF('Your debts'!$F$12="",0,MIN(AL236,MAX(0,MAX(0,'Your debts'!$C$19-(G236+L236+Q236+V236+AA236+AF236+AK236+AP236+AU236+AZ236))-(IF(AND('Your debts'!$F$6&lt;&gt;"",'Your debts'!$F$12&lt;&gt;"",'Your debts'!$F$6&lt;'Your debts'!$F$12),H236,0)+IF(AND('Your debts'!$F$7&lt;&gt;"",'Your debts'!$F$12&lt;&gt;"",'Your debts'!$F$7&lt;'Your debts'!$F$12),M236,0)+IF(AND('Your debts'!$F$8&lt;&gt;"",'Your debts'!$F$12&lt;&gt;"",'Your debts'!$F$8&lt;'Your debts'!$F$12),R236,0)+IF(AND('Your debts'!$F$9&lt;&gt;"",'Your debts'!$F$12&lt;&gt;"",'Your debts'!$F$9&lt;'Your debts'!$F$12),W236,0)+IF(AND('Your debts'!$F$10&lt;&gt;"",'Your debts'!$F$12&lt;&gt;"",'Your debts'!$F$10&lt;'Your debts'!$F$12),AB236,0)+IF(AND('Your debts'!$F$11&lt;&gt;"",'Your debts'!$F$12&lt;&gt;"",'Your debts'!$F$11&lt;'Your debts'!$F$12),AG236,0)+IF(AND('Your debts'!$F$13&lt;&gt;"",'Your debts'!$F$12&lt;&gt;"",'Your debts'!$F$13&lt;'Your debts'!$F$12),AQ236,0)+IF(AND('Your debts'!$F$14&lt;&gt;"",'Your debts'!$F$12&lt;&gt;"",'Your debts'!$F$14&lt;'Your debts'!$F$12),AV236,0)+IF(AND('Your debts'!$F$15&lt;&gt;"",'Your debts'!$F$12&lt;&gt;"",'Your debts'!$F$15&lt;'Your debts'!$F$12),BA236,0)))))</f>
        <v/>
      </c>
      <c r="AN236" s="33">
        <f>AL236-AM236</f>
        <v/>
      </c>
      <c r="AO236" s="33">
        <f>IF(AS235&lt;=0,0,ROUND(AS235*(1+'Your debts'!$D$13/1200),2))</f>
        <v/>
      </c>
      <c r="AP236" s="33">
        <f>IF(AO236&lt;=0,0,MIN('Your debts'!$E$13,AO236))</f>
        <v/>
      </c>
      <c r="AQ236" s="33">
        <f>AO236-AP236</f>
        <v/>
      </c>
      <c r="AR236" s="33">
        <f>IF('Your debts'!$F$13="",0,MIN(AQ236,MAX(0,MAX(0,'Your debts'!$C$19-(G236+L236+Q236+V236+AA236+AF236+AK236+AP236+AU236+AZ236))-(IF(AND('Your debts'!$F$6&lt;&gt;"",'Your debts'!$F$13&lt;&gt;"",'Your debts'!$F$6&lt;'Your debts'!$F$13),H236,0)+IF(AND('Your debts'!$F$7&lt;&gt;"",'Your debts'!$F$13&lt;&gt;"",'Your debts'!$F$7&lt;'Your debts'!$F$13),M236,0)+IF(AND('Your debts'!$F$8&lt;&gt;"",'Your debts'!$F$13&lt;&gt;"",'Your debts'!$F$8&lt;'Your debts'!$F$13),R236,0)+IF(AND('Your debts'!$F$9&lt;&gt;"",'Your debts'!$F$13&lt;&gt;"",'Your debts'!$F$9&lt;'Your debts'!$F$13),W236,0)+IF(AND('Your debts'!$F$10&lt;&gt;"",'Your debts'!$F$13&lt;&gt;"",'Your debts'!$F$10&lt;'Your debts'!$F$13),AB236,0)+IF(AND('Your debts'!$F$11&lt;&gt;"",'Your debts'!$F$13&lt;&gt;"",'Your debts'!$F$11&lt;'Your debts'!$F$13),AG236,0)+IF(AND('Your debts'!$F$12&lt;&gt;"",'Your debts'!$F$13&lt;&gt;"",'Your debts'!$F$12&lt;'Your debts'!$F$13),AL236,0)+IF(AND('Your debts'!$F$14&lt;&gt;"",'Your debts'!$F$13&lt;&gt;"",'Your debts'!$F$14&lt;'Your debts'!$F$13),AV236,0)+IF(AND('Your debts'!$F$15&lt;&gt;"",'Your debts'!$F$13&lt;&gt;"",'Your debts'!$F$15&lt;'Your debts'!$F$13),BA236,0)))))</f>
        <v/>
      </c>
      <c r="AS236" s="33">
        <f>AQ236-AR236</f>
        <v/>
      </c>
      <c r="AT236" s="33">
        <f>IF(AX235&lt;=0,0,ROUND(AX235*(1+'Your debts'!$D$14/1200),2))</f>
        <v/>
      </c>
      <c r="AU236" s="33">
        <f>IF(AT236&lt;=0,0,MIN('Your debts'!$E$14,AT236))</f>
        <v/>
      </c>
      <c r="AV236" s="33">
        <f>AT236-AU236</f>
        <v/>
      </c>
      <c r="AW236" s="33">
        <f>IF('Your debts'!$F$14="",0,MIN(AV236,MAX(0,MAX(0,'Your debts'!$C$19-(G236+L236+Q236+V236+AA236+AF236+AK236+AP236+AU236+AZ236))-(IF(AND('Your debts'!$F$6&lt;&gt;"",'Your debts'!$F$14&lt;&gt;"",'Your debts'!$F$6&lt;'Your debts'!$F$14),H236,0)+IF(AND('Your debts'!$F$7&lt;&gt;"",'Your debts'!$F$14&lt;&gt;"",'Your debts'!$F$7&lt;'Your debts'!$F$14),M236,0)+IF(AND('Your debts'!$F$8&lt;&gt;"",'Your debts'!$F$14&lt;&gt;"",'Your debts'!$F$8&lt;'Your debts'!$F$14),R236,0)+IF(AND('Your debts'!$F$9&lt;&gt;"",'Your debts'!$F$14&lt;&gt;"",'Your debts'!$F$9&lt;'Your debts'!$F$14),W236,0)+IF(AND('Your debts'!$F$10&lt;&gt;"",'Your debts'!$F$14&lt;&gt;"",'Your debts'!$F$10&lt;'Your debts'!$F$14),AB236,0)+IF(AND('Your debts'!$F$11&lt;&gt;"",'Your debts'!$F$14&lt;&gt;"",'Your debts'!$F$11&lt;'Your debts'!$F$14),AG236,0)+IF(AND('Your debts'!$F$12&lt;&gt;"",'Your debts'!$F$14&lt;&gt;"",'Your debts'!$F$12&lt;'Your debts'!$F$14),AL236,0)+IF(AND('Your debts'!$F$13&lt;&gt;"",'Your debts'!$F$14&lt;&gt;"",'Your debts'!$F$13&lt;'Your debts'!$F$14),AQ236,0)+IF(AND('Your debts'!$F$15&lt;&gt;"",'Your debts'!$F$14&lt;&gt;"",'Your debts'!$F$15&lt;'Your debts'!$F$14),BA236,0)))))</f>
        <v/>
      </c>
      <c r="AX236" s="33">
        <f>AV236-AW236</f>
        <v/>
      </c>
      <c r="AY236" s="33">
        <f>IF(BC235&lt;=0,0,ROUND(BC235*(1+'Your debts'!$D$15/1200),2))</f>
        <v/>
      </c>
      <c r="AZ236" s="33">
        <f>IF(AY236&lt;=0,0,MIN('Your debts'!$E$15,AY236))</f>
        <v/>
      </c>
      <c r="BA236" s="33">
        <f>AY236-AZ236</f>
        <v/>
      </c>
      <c r="BB236" s="33">
        <f>IF('Your debts'!$F$15="",0,MIN(BA236,MAX(0,MAX(0,'Your debts'!$C$19-(G236+L236+Q236+V236+AA236+AF236+AK236+AP236+AU236+AZ236))-(IF(AND('Your debts'!$F$6&lt;&gt;"",'Your debts'!$F$15&lt;&gt;"",'Your debts'!$F$6&lt;'Your debts'!$F$15),H236,0)+IF(AND('Your debts'!$F$7&lt;&gt;"",'Your debts'!$F$15&lt;&gt;"",'Your debts'!$F$7&lt;'Your debts'!$F$15),M236,0)+IF(AND('Your debts'!$F$8&lt;&gt;"",'Your debts'!$F$15&lt;&gt;"",'Your debts'!$F$8&lt;'Your debts'!$F$15),R236,0)+IF(AND('Your debts'!$F$9&lt;&gt;"",'Your debts'!$F$15&lt;&gt;"",'Your debts'!$F$9&lt;'Your debts'!$F$15),W236,0)+IF(AND('Your debts'!$F$10&lt;&gt;"",'Your debts'!$F$15&lt;&gt;"",'Your debts'!$F$10&lt;'Your debts'!$F$15),AB236,0)+IF(AND('Your debts'!$F$11&lt;&gt;"",'Your debts'!$F$15&lt;&gt;"",'Your debts'!$F$11&lt;'Your debts'!$F$15),AG236,0)+IF(AND('Your debts'!$F$12&lt;&gt;"",'Your debts'!$F$15&lt;&gt;"",'Your debts'!$F$12&lt;'Your debts'!$F$15),AL236,0)+IF(AND('Your debts'!$F$13&lt;&gt;"",'Your debts'!$F$15&lt;&gt;"",'Your debts'!$F$13&lt;'Your debts'!$F$15),AQ236,0)+IF(AND('Your debts'!$F$14&lt;&gt;"",'Your debts'!$F$15&lt;&gt;"",'Your debts'!$F$14&lt;'Your debts'!$F$15),AV236,0)))))</f>
        <v/>
      </c>
      <c r="BC236" s="33">
        <f>BA236-BB236</f>
        <v/>
      </c>
    </row>
    <row r="237">
      <c r="A237" s="30" t="n">
        <v>222</v>
      </c>
      <c r="B237" s="31">
        <f>EDATE($B$15,222)</f>
        <v/>
      </c>
      <c r="C237" s="32">
        <f>IF(J236&lt;=0,0,F237-J236)+IF(O236&lt;=0,0,K237-O236)+IF(T236&lt;=0,0,P237-T236)+IF(Y236&lt;=0,0,U237-Y236)+IF(AD236&lt;=0,0,Z237-AD236)+IF(AI236&lt;=0,0,AE237-AI236)+IF(AN236&lt;=0,0,AJ237-AN236)+IF(AS236&lt;=0,0,AO237-AS236)+IF(AX236&lt;=0,0,AT237-AX236)+IF(BC236&lt;=0,0,AY237-BC236)</f>
        <v/>
      </c>
      <c r="D237" s="32">
        <f>G237+I237+L237+N237+Q237+S237+V237+X237+AA237+AC237+AF237+AH237+AK237+AM237+AP237+AR237+AU237+AW237+AZ237+BB237</f>
        <v/>
      </c>
      <c r="E237" s="32">
        <f>J237+O237+T237+Y237+AD237+AI237+AN237+AS237+AX237+BC237</f>
        <v/>
      </c>
      <c r="F237" s="33">
        <f>IF(J236&lt;=0,0,ROUND(J236*(1+'Your debts'!$D$6/1200),2))</f>
        <v/>
      </c>
      <c r="G237" s="33">
        <f>IF(F237&lt;=0,0,MIN('Your debts'!$E$6,F237))</f>
        <v/>
      </c>
      <c r="H237" s="33">
        <f>F237-G237</f>
        <v/>
      </c>
      <c r="I237" s="33">
        <f>IF('Your debts'!$F$6="",0,MIN(H237,MAX(0,MAX(0,'Your debts'!$C$19-(G237+L237+Q237+V237+AA237+AF237+AK237+AP237+AU237+AZ237))-(IF(AND('Your debts'!$F$7&lt;&gt;"",'Your debts'!$F$6&lt;&gt;"",'Your debts'!$F$7&lt;'Your debts'!$F$6),M237,0)+IF(AND('Your debts'!$F$8&lt;&gt;"",'Your debts'!$F$6&lt;&gt;"",'Your debts'!$F$8&lt;'Your debts'!$F$6),R237,0)+IF(AND('Your debts'!$F$9&lt;&gt;"",'Your debts'!$F$6&lt;&gt;"",'Your debts'!$F$9&lt;'Your debts'!$F$6),W237,0)+IF(AND('Your debts'!$F$10&lt;&gt;"",'Your debts'!$F$6&lt;&gt;"",'Your debts'!$F$10&lt;'Your debts'!$F$6),AB237,0)+IF(AND('Your debts'!$F$11&lt;&gt;"",'Your debts'!$F$6&lt;&gt;"",'Your debts'!$F$11&lt;'Your debts'!$F$6),AG237,0)+IF(AND('Your debts'!$F$12&lt;&gt;"",'Your debts'!$F$6&lt;&gt;"",'Your debts'!$F$12&lt;'Your debts'!$F$6),AL237,0)+IF(AND('Your debts'!$F$13&lt;&gt;"",'Your debts'!$F$6&lt;&gt;"",'Your debts'!$F$13&lt;'Your debts'!$F$6),AQ237,0)+IF(AND('Your debts'!$F$14&lt;&gt;"",'Your debts'!$F$6&lt;&gt;"",'Your debts'!$F$14&lt;'Your debts'!$F$6),AV237,0)+IF(AND('Your debts'!$F$15&lt;&gt;"",'Your debts'!$F$6&lt;&gt;"",'Your debts'!$F$15&lt;'Your debts'!$F$6),BA237,0)))))</f>
        <v/>
      </c>
      <c r="J237" s="33">
        <f>H237-I237</f>
        <v/>
      </c>
      <c r="K237" s="33">
        <f>IF(O236&lt;=0,0,ROUND(O236*(1+'Your debts'!$D$7/1200),2))</f>
        <v/>
      </c>
      <c r="L237" s="33">
        <f>IF(K237&lt;=0,0,MIN('Your debts'!$E$7,K237))</f>
        <v/>
      </c>
      <c r="M237" s="33">
        <f>K237-L237</f>
        <v/>
      </c>
      <c r="N237" s="33">
        <f>IF('Your debts'!$F$7="",0,MIN(M237,MAX(0,MAX(0,'Your debts'!$C$19-(G237+L237+Q237+V237+AA237+AF237+AK237+AP237+AU237+AZ237))-(IF(AND('Your debts'!$F$6&lt;&gt;"",'Your debts'!$F$7&lt;&gt;"",'Your debts'!$F$6&lt;'Your debts'!$F$7),H237,0)+IF(AND('Your debts'!$F$8&lt;&gt;"",'Your debts'!$F$7&lt;&gt;"",'Your debts'!$F$8&lt;'Your debts'!$F$7),R237,0)+IF(AND('Your debts'!$F$9&lt;&gt;"",'Your debts'!$F$7&lt;&gt;"",'Your debts'!$F$9&lt;'Your debts'!$F$7),W237,0)+IF(AND('Your debts'!$F$10&lt;&gt;"",'Your debts'!$F$7&lt;&gt;"",'Your debts'!$F$10&lt;'Your debts'!$F$7),AB237,0)+IF(AND('Your debts'!$F$11&lt;&gt;"",'Your debts'!$F$7&lt;&gt;"",'Your debts'!$F$11&lt;'Your debts'!$F$7),AG237,0)+IF(AND('Your debts'!$F$12&lt;&gt;"",'Your debts'!$F$7&lt;&gt;"",'Your debts'!$F$12&lt;'Your debts'!$F$7),AL237,0)+IF(AND('Your debts'!$F$13&lt;&gt;"",'Your debts'!$F$7&lt;&gt;"",'Your debts'!$F$13&lt;'Your debts'!$F$7),AQ237,0)+IF(AND('Your debts'!$F$14&lt;&gt;"",'Your debts'!$F$7&lt;&gt;"",'Your debts'!$F$14&lt;'Your debts'!$F$7),AV237,0)+IF(AND('Your debts'!$F$15&lt;&gt;"",'Your debts'!$F$7&lt;&gt;"",'Your debts'!$F$15&lt;'Your debts'!$F$7),BA237,0)))))</f>
        <v/>
      </c>
      <c r="O237" s="33">
        <f>M237-N237</f>
        <v/>
      </c>
      <c r="P237" s="33">
        <f>IF(T236&lt;=0,0,ROUND(T236*(1+'Your debts'!$D$8/1200),2))</f>
        <v/>
      </c>
      <c r="Q237" s="33">
        <f>IF(P237&lt;=0,0,MIN('Your debts'!$E$8,P237))</f>
        <v/>
      </c>
      <c r="R237" s="33">
        <f>P237-Q237</f>
        <v/>
      </c>
      <c r="S237" s="33">
        <f>IF('Your debts'!$F$8="",0,MIN(R237,MAX(0,MAX(0,'Your debts'!$C$19-(G237+L237+Q237+V237+AA237+AF237+AK237+AP237+AU237+AZ237))-(IF(AND('Your debts'!$F$6&lt;&gt;"",'Your debts'!$F$8&lt;&gt;"",'Your debts'!$F$6&lt;'Your debts'!$F$8),H237,0)+IF(AND('Your debts'!$F$7&lt;&gt;"",'Your debts'!$F$8&lt;&gt;"",'Your debts'!$F$7&lt;'Your debts'!$F$8),M237,0)+IF(AND('Your debts'!$F$9&lt;&gt;"",'Your debts'!$F$8&lt;&gt;"",'Your debts'!$F$9&lt;'Your debts'!$F$8),W237,0)+IF(AND('Your debts'!$F$10&lt;&gt;"",'Your debts'!$F$8&lt;&gt;"",'Your debts'!$F$10&lt;'Your debts'!$F$8),AB237,0)+IF(AND('Your debts'!$F$11&lt;&gt;"",'Your debts'!$F$8&lt;&gt;"",'Your debts'!$F$11&lt;'Your debts'!$F$8),AG237,0)+IF(AND('Your debts'!$F$12&lt;&gt;"",'Your debts'!$F$8&lt;&gt;"",'Your debts'!$F$12&lt;'Your debts'!$F$8),AL237,0)+IF(AND('Your debts'!$F$13&lt;&gt;"",'Your debts'!$F$8&lt;&gt;"",'Your debts'!$F$13&lt;'Your debts'!$F$8),AQ237,0)+IF(AND('Your debts'!$F$14&lt;&gt;"",'Your debts'!$F$8&lt;&gt;"",'Your debts'!$F$14&lt;'Your debts'!$F$8),AV237,0)+IF(AND('Your debts'!$F$15&lt;&gt;"",'Your debts'!$F$8&lt;&gt;"",'Your debts'!$F$15&lt;'Your debts'!$F$8),BA237,0)))))</f>
        <v/>
      </c>
      <c r="T237" s="33">
        <f>R237-S237</f>
        <v/>
      </c>
      <c r="U237" s="33">
        <f>IF(Y236&lt;=0,0,ROUND(Y236*(1+'Your debts'!$D$9/1200),2))</f>
        <v/>
      </c>
      <c r="V237" s="33">
        <f>IF(U237&lt;=0,0,MIN('Your debts'!$E$9,U237))</f>
        <v/>
      </c>
      <c r="W237" s="33">
        <f>U237-V237</f>
        <v/>
      </c>
      <c r="X237" s="33">
        <f>IF('Your debts'!$F$9="",0,MIN(W237,MAX(0,MAX(0,'Your debts'!$C$19-(G237+L237+Q237+V237+AA237+AF237+AK237+AP237+AU237+AZ237))-(IF(AND('Your debts'!$F$6&lt;&gt;"",'Your debts'!$F$9&lt;&gt;"",'Your debts'!$F$6&lt;'Your debts'!$F$9),H237,0)+IF(AND('Your debts'!$F$7&lt;&gt;"",'Your debts'!$F$9&lt;&gt;"",'Your debts'!$F$7&lt;'Your debts'!$F$9),M237,0)+IF(AND('Your debts'!$F$8&lt;&gt;"",'Your debts'!$F$9&lt;&gt;"",'Your debts'!$F$8&lt;'Your debts'!$F$9),R237,0)+IF(AND('Your debts'!$F$10&lt;&gt;"",'Your debts'!$F$9&lt;&gt;"",'Your debts'!$F$10&lt;'Your debts'!$F$9),AB237,0)+IF(AND('Your debts'!$F$11&lt;&gt;"",'Your debts'!$F$9&lt;&gt;"",'Your debts'!$F$11&lt;'Your debts'!$F$9),AG237,0)+IF(AND('Your debts'!$F$12&lt;&gt;"",'Your debts'!$F$9&lt;&gt;"",'Your debts'!$F$12&lt;'Your debts'!$F$9),AL237,0)+IF(AND('Your debts'!$F$13&lt;&gt;"",'Your debts'!$F$9&lt;&gt;"",'Your debts'!$F$13&lt;'Your debts'!$F$9),AQ237,0)+IF(AND('Your debts'!$F$14&lt;&gt;"",'Your debts'!$F$9&lt;&gt;"",'Your debts'!$F$14&lt;'Your debts'!$F$9),AV237,0)+IF(AND('Your debts'!$F$15&lt;&gt;"",'Your debts'!$F$9&lt;&gt;"",'Your debts'!$F$15&lt;'Your debts'!$F$9),BA237,0)))))</f>
        <v/>
      </c>
      <c r="Y237" s="33">
        <f>W237-X237</f>
        <v/>
      </c>
      <c r="Z237" s="33">
        <f>IF(AD236&lt;=0,0,ROUND(AD236*(1+'Your debts'!$D$10/1200),2))</f>
        <v/>
      </c>
      <c r="AA237" s="33">
        <f>IF(Z237&lt;=0,0,MIN('Your debts'!$E$10,Z237))</f>
        <v/>
      </c>
      <c r="AB237" s="33">
        <f>Z237-AA237</f>
        <v/>
      </c>
      <c r="AC237" s="33">
        <f>IF('Your debts'!$F$10="",0,MIN(AB237,MAX(0,MAX(0,'Your debts'!$C$19-(G237+L237+Q237+V237+AA237+AF237+AK237+AP237+AU237+AZ237))-(IF(AND('Your debts'!$F$6&lt;&gt;"",'Your debts'!$F$10&lt;&gt;"",'Your debts'!$F$6&lt;'Your debts'!$F$10),H237,0)+IF(AND('Your debts'!$F$7&lt;&gt;"",'Your debts'!$F$10&lt;&gt;"",'Your debts'!$F$7&lt;'Your debts'!$F$10),M237,0)+IF(AND('Your debts'!$F$8&lt;&gt;"",'Your debts'!$F$10&lt;&gt;"",'Your debts'!$F$8&lt;'Your debts'!$F$10),R237,0)+IF(AND('Your debts'!$F$9&lt;&gt;"",'Your debts'!$F$10&lt;&gt;"",'Your debts'!$F$9&lt;'Your debts'!$F$10),W237,0)+IF(AND('Your debts'!$F$11&lt;&gt;"",'Your debts'!$F$10&lt;&gt;"",'Your debts'!$F$11&lt;'Your debts'!$F$10),AG237,0)+IF(AND('Your debts'!$F$12&lt;&gt;"",'Your debts'!$F$10&lt;&gt;"",'Your debts'!$F$12&lt;'Your debts'!$F$10),AL237,0)+IF(AND('Your debts'!$F$13&lt;&gt;"",'Your debts'!$F$10&lt;&gt;"",'Your debts'!$F$13&lt;'Your debts'!$F$10),AQ237,0)+IF(AND('Your debts'!$F$14&lt;&gt;"",'Your debts'!$F$10&lt;&gt;"",'Your debts'!$F$14&lt;'Your debts'!$F$10),AV237,0)+IF(AND('Your debts'!$F$15&lt;&gt;"",'Your debts'!$F$10&lt;&gt;"",'Your debts'!$F$15&lt;'Your debts'!$F$10),BA237,0)))))</f>
        <v/>
      </c>
      <c r="AD237" s="33">
        <f>AB237-AC237</f>
        <v/>
      </c>
      <c r="AE237" s="33">
        <f>IF(AI236&lt;=0,0,ROUND(AI236*(1+'Your debts'!$D$11/1200),2))</f>
        <v/>
      </c>
      <c r="AF237" s="33">
        <f>IF(AE237&lt;=0,0,MIN('Your debts'!$E$11,AE237))</f>
        <v/>
      </c>
      <c r="AG237" s="33">
        <f>AE237-AF237</f>
        <v/>
      </c>
      <c r="AH237" s="33">
        <f>IF('Your debts'!$F$11="",0,MIN(AG237,MAX(0,MAX(0,'Your debts'!$C$19-(G237+L237+Q237+V237+AA237+AF237+AK237+AP237+AU237+AZ237))-(IF(AND('Your debts'!$F$6&lt;&gt;"",'Your debts'!$F$11&lt;&gt;"",'Your debts'!$F$6&lt;'Your debts'!$F$11),H237,0)+IF(AND('Your debts'!$F$7&lt;&gt;"",'Your debts'!$F$11&lt;&gt;"",'Your debts'!$F$7&lt;'Your debts'!$F$11),M237,0)+IF(AND('Your debts'!$F$8&lt;&gt;"",'Your debts'!$F$11&lt;&gt;"",'Your debts'!$F$8&lt;'Your debts'!$F$11),R237,0)+IF(AND('Your debts'!$F$9&lt;&gt;"",'Your debts'!$F$11&lt;&gt;"",'Your debts'!$F$9&lt;'Your debts'!$F$11),W237,0)+IF(AND('Your debts'!$F$10&lt;&gt;"",'Your debts'!$F$11&lt;&gt;"",'Your debts'!$F$10&lt;'Your debts'!$F$11),AB237,0)+IF(AND('Your debts'!$F$12&lt;&gt;"",'Your debts'!$F$11&lt;&gt;"",'Your debts'!$F$12&lt;'Your debts'!$F$11),AL237,0)+IF(AND('Your debts'!$F$13&lt;&gt;"",'Your debts'!$F$11&lt;&gt;"",'Your debts'!$F$13&lt;'Your debts'!$F$11),AQ237,0)+IF(AND('Your debts'!$F$14&lt;&gt;"",'Your debts'!$F$11&lt;&gt;"",'Your debts'!$F$14&lt;'Your debts'!$F$11),AV237,0)+IF(AND('Your debts'!$F$15&lt;&gt;"",'Your debts'!$F$11&lt;&gt;"",'Your debts'!$F$15&lt;'Your debts'!$F$11),BA237,0)))))</f>
        <v/>
      </c>
      <c r="AI237" s="33">
        <f>AG237-AH237</f>
        <v/>
      </c>
      <c r="AJ237" s="33">
        <f>IF(AN236&lt;=0,0,ROUND(AN236*(1+'Your debts'!$D$12/1200),2))</f>
        <v/>
      </c>
      <c r="AK237" s="33">
        <f>IF(AJ237&lt;=0,0,MIN('Your debts'!$E$12,AJ237))</f>
        <v/>
      </c>
      <c r="AL237" s="33">
        <f>AJ237-AK237</f>
        <v/>
      </c>
      <c r="AM237" s="33">
        <f>IF('Your debts'!$F$12="",0,MIN(AL237,MAX(0,MAX(0,'Your debts'!$C$19-(G237+L237+Q237+V237+AA237+AF237+AK237+AP237+AU237+AZ237))-(IF(AND('Your debts'!$F$6&lt;&gt;"",'Your debts'!$F$12&lt;&gt;"",'Your debts'!$F$6&lt;'Your debts'!$F$12),H237,0)+IF(AND('Your debts'!$F$7&lt;&gt;"",'Your debts'!$F$12&lt;&gt;"",'Your debts'!$F$7&lt;'Your debts'!$F$12),M237,0)+IF(AND('Your debts'!$F$8&lt;&gt;"",'Your debts'!$F$12&lt;&gt;"",'Your debts'!$F$8&lt;'Your debts'!$F$12),R237,0)+IF(AND('Your debts'!$F$9&lt;&gt;"",'Your debts'!$F$12&lt;&gt;"",'Your debts'!$F$9&lt;'Your debts'!$F$12),W237,0)+IF(AND('Your debts'!$F$10&lt;&gt;"",'Your debts'!$F$12&lt;&gt;"",'Your debts'!$F$10&lt;'Your debts'!$F$12),AB237,0)+IF(AND('Your debts'!$F$11&lt;&gt;"",'Your debts'!$F$12&lt;&gt;"",'Your debts'!$F$11&lt;'Your debts'!$F$12),AG237,0)+IF(AND('Your debts'!$F$13&lt;&gt;"",'Your debts'!$F$12&lt;&gt;"",'Your debts'!$F$13&lt;'Your debts'!$F$12),AQ237,0)+IF(AND('Your debts'!$F$14&lt;&gt;"",'Your debts'!$F$12&lt;&gt;"",'Your debts'!$F$14&lt;'Your debts'!$F$12),AV237,0)+IF(AND('Your debts'!$F$15&lt;&gt;"",'Your debts'!$F$12&lt;&gt;"",'Your debts'!$F$15&lt;'Your debts'!$F$12),BA237,0)))))</f>
        <v/>
      </c>
      <c r="AN237" s="33">
        <f>AL237-AM237</f>
        <v/>
      </c>
      <c r="AO237" s="33">
        <f>IF(AS236&lt;=0,0,ROUND(AS236*(1+'Your debts'!$D$13/1200),2))</f>
        <v/>
      </c>
      <c r="AP237" s="33">
        <f>IF(AO237&lt;=0,0,MIN('Your debts'!$E$13,AO237))</f>
        <v/>
      </c>
      <c r="AQ237" s="33">
        <f>AO237-AP237</f>
        <v/>
      </c>
      <c r="AR237" s="33">
        <f>IF('Your debts'!$F$13="",0,MIN(AQ237,MAX(0,MAX(0,'Your debts'!$C$19-(G237+L237+Q237+V237+AA237+AF237+AK237+AP237+AU237+AZ237))-(IF(AND('Your debts'!$F$6&lt;&gt;"",'Your debts'!$F$13&lt;&gt;"",'Your debts'!$F$6&lt;'Your debts'!$F$13),H237,0)+IF(AND('Your debts'!$F$7&lt;&gt;"",'Your debts'!$F$13&lt;&gt;"",'Your debts'!$F$7&lt;'Your debts'!$F$13),M237,0)+IF(AND('Your debts'!$F$8&lt;&gt;"",'Your debts'!$F$13&lt;&gt;"",'Your debts'!$F$8&lt;'Your debts'!$F$13),R237,0)+IF(AND('Your debts'!$F$9&lt;&gt;"",'Your debts'!$F$13&lt;&gt;"",'Your debts'!$F$9&lt;'Your debts'!$F$13),W237,0)+IF(AND('Your debts'!$F$10&lt;&gt;"",'Your debts'!$F$13&lt;&gt;"",'Your debts'!$F$10&lt;'Your debts'!$F$13),AB237,0)+IF(AND('Your debts'!$F$11&lt;&gt;"",'Your debts'!$F$13&lt;&gt;"",'Your debts'!$F$11&lt;'Your debts'!$F$13),AG237,0)+IF(AND('Your debts'!$F$12&lt;&gt;"",'Your debts'!$F$13&lt;&gt;"",'Your debts'!$F$12&lt;'Your debts'!$F$13),AL237,0)+IF(AND('Your debts'!$F$14&lt;&gt;"",'Your debts'!$F$13&lt;&gt;"",'Your debts'!$F$14&lt;'Your debts'!$F$13),AV237,0)+IF(AND('Your debts'!$F$15&lt;&gt;"",'Your debts'!$F$13&lt;&gt;"",'Your debts'!$F$15&lt;'Your debts'!$F$13),BA237,0)))))</f>
        <v/>
      </c>
      <c r="AS237" s="33">
        <f>AQ237-AR237</f>
        <v/>
      </c>
      <c r="AT237" s="33">
        <f>IF(AX236&lt;=0,0,ROUND(AX236*(1+'Your debts'!$D$14/1200),2))</f>
        <v/>
      </c>
      <c r="AU237" s="33">
        <f>IF(AT237&lt;=0,0,MIN('Your debts'!$E$14,AT237))</f>
        <v/>
      </c>
      <c r="AV237" s="33">
        <f>AT237-AU237</f>
        <v/>
      </c>
      <c r="AW237" s="33">
        <f>IF('Your debts'!$F$14="",0,MIN(AV237,MAX(0,MAX(0,'Your debts'!$C$19-(G237+L237+Q237+V237+AA237+AF237+AK237+AP237+AU237+AZ237))-(IF(AND('Your debts'!$F$6&lt;&gt;"",'Your debts'!$F$14&lt;&gt;"",'Your debts'!$F$6&lt;'Your debts'!$F$14),H237,0)+IF(AND('Your debts'!$F$7&lt;&gt;"",'Your debts'!$F$14&lt;&gt;"",'Your debts'!$F$7&lt;'Your debts'!$F$14),M237,0)+IF(AND('Your debts'!$F$8&lt;&gt;"",'Your debts'!$F$14&lt;&gt;"",'Your debts'!$F$8&lt;'Your debts'!$F$14),R237,0)+IF(AND('Your debts'!$F$9&lt;&gt;"",'Your debts'!$F$14&lt;&gt;"",'Your debts'!$F$9&lt;'Your debts'!$F$14),W237,0)+IF(AND('Your debts'!$F$10&lt;&gt;"",'Your debts'!$F$14&lt;&gt;"",'Your debts'!$F$10&lt;'Your debts'!$F$14),AB237,0)+IF(AND('Your debts'!$F$11&lt;&gt;"",'Your debts'!$F$14&lt;&gt;"",'Your debts'!$F$11&lt;'Your debts'!$F$14),AG237,0)+IF(AND('Your debts'!$F$12&lt;&gt;"",'Your debts'!$F$14&lt;&gt;"",'Your debts'!$F$12&lt;'Your debts'!$F$14),AL237,0)+IF(AND('Your debts'!$F$13&lt;&gt;"",'Your debts'!$F$14&lt;&gt;"",'Your debts'!$F$13&lt;'Your debts'!$F$14),AQ237,0)+IF(AND('Your debts'!$F$15&lt;&gt;"",'Your debts'!$F$14&lt;&gt;"",'Your debts'!$F$15&lt;'Your debts'!$F$14),BA237,0)))))</f>
        <v/>
      </c>
      <c r="AX237" s="33">
        <f>AV237-AW237</f>
        <v/>
      </c>
      <c r="AY237" s="33">
        <f>IF(BC236&lt;=0,0,ROUND(BC236*(1+'Your debts'!$D$15/1200),2))</f>
        <v/>
      </c>
      <c r="AZ237" s="33">
        <f>IF(AY237&lt;=0,0,MIN('Your debts'!$E$15,AY237))</f>
        <v/>
      </c>
      <c r="BA237" s="33">
        <f>AY237-AZ237</f>
        <v/>
      </c>
      <c r="BB237" s="33">
        <f>IF('Your debts'!$F$15="",0,MIN(BA237,MAX(0,MAX(0,'Your debts'!$C$19-(G237+L237+Q237+V237+AA237+AF237+AK237+AP237+AU237+AZ237))-(IF(AND('Your debts'!$F$6&lt;&gt;"",'Your debts'!$F$15&lt;&gt;"",'Your debts'!$F$6&lt;'Your debts'!$F$15),H237,0)+IF(AND('Your debts'!$F$7&lt;&gt;"",'Your debts'!$F$15&lt;&gt;"",'Your debts'!$F$7&lt;'Your debts'!$F$15),M237,0)+IF(AND('Your debts'!$F$8&lt;&gt;"",'Your debts'!$F$15&lt;&gt;"",'Your debts'!$F$8&lt;'Your debts'!$F$15),R237,0)+IF(AND('Your debts'!$F$9&lt;&gt;"",'Your debts'!$F$15&lt;&gt;"",'Your debts'!$F$9&lt;'Your debts'!$F$15),W237,0)+IF(AND('Your debts'!$F$10&lt;&gt;"",'Your debts'!$F$15&lt;&gt;"",'Your debts'!$F$10&lt;'Your debts'!$F$15),AB237,0)+IF(AND('Your debts'!$F$11&lt;&gt;"",'Your debts'!$F$15&lt;&gt;"",'Your debts'!$F$11&lt;'Your debts'!$F$15),AG237,0)+IF(AND('Your debts'!$F$12&lt;&gt;"",'Your debts'!$F$15&lt;&gt;"",'Your debts'!$F$12&lt;'Your debts'!$F$15),AL237,0)+IF(AND('Your debts'!$F$13&lt;&gt;"",'Your debts'!$F$15&lt;&gt;"",'Your debts'!$F$13&lt;'Your debts'!$F$15),AQ237,0)+IF(AND('Your debts'!$F$14&lt;&gt;"",'Your debts'!$F$15&lt;&gt;"",'Your debts'!$F$14&lt;'Your debts'!$F$15),AV237,0)))))</f>
        <v/>
      </c>
      <c r="BC237" s="33">
        <f>BA237-BB237</f>
        <v/>
      </c>
    </row>
    <row r="238">
      <c r="A238" s="30" t="n">
        <v>223</v>
      </c>
      <c r="B238" s="31">
        <f>EDATE($B$15,223)</f>
        <v/>
      </c>
      <c r="C238" s="32">
        <f>IF(J237&lt;=0,0,F238-J237)+IF(O237&lt;=0,0,K238-O237)+IF(T237&lt;=0,0,P238-T237)+IF(Y237&lt;=0,0,U238-Y237)+IF(AD237&lt;=0,0,Z238-AD237)+IF(AI237&lt;=0,0,AE238-AI237)+IF(AN237&lt;=0,0,AJ238-AN237)+IF(AS237&lt;=0,0,AO238-AS237)+IF(AX237&lt;=0,0,AT238-AX237)+IF(BC237&lt;=0,0,AY238-BC237)</f>
        <v/>
      </c>
      <c r="D238" s="32">
        <f>G238+I238+L238+N238+Q238+S238+V238+X238+AA238+AC238+AF238+AH238+AK238+AM238+AP238+AR238+AU238+AW238+AZ238+BB238</f>
        <v/>
      </c>
      <c r="E238" s="32">
        <f>J238+O238+T238+Y238+AD238+AI238+AN238+AS238+AX238+BC238</f>
        <v/>
      </c>
      <c r="F238" s="33">
        <f>IF(J237&lt;=0,0,ROUND(J237*(1+'Your debts'!$D$6/1200),2))</f>
        <v/>
      </c>
      <c r="G238" s="33">
        <f>IF(F238&lt;=0,0,MIN('Your debts'!$E$6,F238))</f>
        <v/>
      </c>
      <c r="H238" s="33">
        <f>F238-G238</f>
        <v/>
      </c>
      <c r="I238" s="33">
        <f>IF('Your debts'!$F$6="",0,MIN(H238,MAX(0,MAX(0,'Your debts'!$C$19-(G238+L238+Q238+V238+AA238+AF238+AK238+AP238+AU238+AZ238))-(IF(AND('Your debts'!$F$7&lt;&gt;"",'Your debts'!$F$6&lt;&gt;"",'Your debts'!$F$7&lt;'Your debts'!$F$6),M238,0)+IF(AND('Your debts'!$F$8&lt;&gt;"",'Your debts'!$F$6&lt;&gt;"",'Your debts'!$F$8&lt;'Your debts'!$F$6),R238,0)+IF(AND('Your debts'!$F$9&lt;&gt;"",'Your debts'!$F$6&lt;&gt;"",'Your debts'!$F$9&lt;'Your debts'!$F$6),W238,0)+IF(AND('Your debts'!$F$10&lt;&gt;"",'Your debts'!$F$6&lt;&gt;"",'Your debts'!$F$10&lt;'Your debts'!$F$6),AB238,0)+IF(AND('Your debts'!$F$11&lt;&gt;"",'Your debts'!$F$6&lt;&gt;"",'Your debts'!$F$11&lt;'Your debts'!$F$6),AG238,0)+IF(AND('Your debts'!$F$12&lt;&gt;"",'Your debts'!$F$6&lt;&gt;"",'Your debts'!$F$12&lt;'Your debts'!$F$6),AL238,0)+IF(AND('Your debts'!$F$13&lt;&gt;"",'Your debts'!$F$6&lt;&gt;"",'Your debts'!$F$13&lt;'Your debts'!$F$6),AQ238,0)+IF(AND('Your debts'!$F$14&lt;&gt;"",'Your debts'!$F$6&lt;&gt;"",'Your debts'!$F$14&lt;'Your debts'!$F$6),AV238,0)+IF(AND('Your debts'!$F$15&lt;&gt;"",'Your debts'!$F$6&lt;&gt;"",'Your debts'!$F$15&lt;'Your debts'!$F$6),BA238,0)))))</f>
        <v/>
      </c>
      <c r="J238" s="33">
        <f>H238-I238</f>
        <v/>
      </c>
      <c r="K238" s="33">
        <f>IF(O237&lt;=0,0,ROUND(O237*(1+'Your debts'!$D$7/1200),2))</f>
        <v/>
      </c>
      <c r="L238" s="33">
        <f>IF(K238&lt;=0,0,MIN('Your debts'!$E$7,K238))</f>
        <v/>
      </c>
      <c r="M238" s="33">
        <f>K238-L238</f>
        <v/>
      </c>
      <c r="N238" s="33">
        <f>IF('Your debts'!$F$7="",0,MIN(M238,MAX(0,MAX(0,'Your debts'!$C$19-(G238+L238+Q238+V238+AA238+AF238+AK238+AP238+AU238+AZ238))-(IF(AND('Your debts'!$F$6&lt;&gt;"",'Your debts'!$F$7&lt;&gt;"",'Your debts'!$F$6&lt;'Your debts'!$F$7),H238,0)+IF(AND('Your debts'!$F$8&lt;&gt;"",'Your debts'!$F$7&lt;&gt;"",'Your debts'!$F$8&lt;'Your debts'!$F$7),R238,0)+IF(AND('Your debts'!$F$9&lt;&gt;"",'Your debts'!$F$7&lt;&gt;"",'Your debts'!$F$9&lt;'Your debts'!$F$7),W238,0)+IF(AND('Your debts'!$F$10&lt;&gt;"",'Your debts'!$F$7&lt;&gt;"",'Your debts'!$F$10&lt;'Your debts'!$F$7),AB238,0)+IF(AND('Your debts'!$F$11&lt;&gt;"",'Your debts'!$F$7&lt;&gt;"",'Your debts'!$F$11&lt;'Your debts'!$F$7),AG238,0)+IF(AND('Your debts'!$F$12&lt;&gt;"",'Your debts'!$F$7&lt;&gt;"",'Your debts'!$F$12&lt;'Your debts'!$F$7),AL238,0)+IF(AND('Your debts'!$F$13&lt;&gt;"",'Your debts'!$F$7&lt;&gt;"",'Your debts'!$F$13&lt;'Your debts'!$F$7),AQ238,0)+IF(AND('Your debts'!$F$14&lt;&gt;"",'Your debts'!$F$7&lt;&gt;"",'Your debts'!$F$14&lt;'Your debts'!$F$7),AV238,0)+IF(AND('Your debts'!$F$15&lt;&gt;"",'Your debts'!$F$7&lt;&gt;"",'Your debts'!$F$15&lt;'Your debts'!$F$7),BA238,0)))))</f>
        <v/>
      </c>
      <c r="O238" s="33">
        <f>M238-N238</f>
        <v/>
      </c>
      <c r="P238" s="33">
        <f>IF(T237&lt;=0,0,ROUND(T237*(1+'Your debts'!$D$8/1200),2))</f>
        <v/>
      </c>
      <c r="Q238" s="33">
        <f>IF(P238&lt;=0,0,MIN('Your debts'!$E$8,P238))</f>
        <v/>
      </c>
      <c r="R238" s="33">
        <f>P238-Q238</f>
        <v/>
      </c>
      <c r="S238" s="33">
        <f>IF('Your debts'!$F$8="",0,MIN(R238,MAX(0,MAX(0,'Your debts'!$C$19-(G238+L238+Q238+V238+AA238+AF238+AK238+AP238+AU238+AZ238))-(IF(AND('Your debts'!$F$6&lt;&gt;"",'Your debts'!$F$8&lt;&gt;"",'Your debts'!$F$6&lt;'Your debts'!$F$8),H238,0)+IF(AND('Your debts'!$F$7&lt;&gt;"",'Your debts'!$F$8&lt;&gt;"",'Your debts'!$F$7&lt;'Your debts'!$F$8),M238,0)+IF(AND('Your debts'!$F$9&lt;&gt;"",'Your debts'!$F$8&lt;&gt;"",'Your debts'!$F$9&lt;'Your debts'!$F$8),W238,0)+IF(AND('Your debts'!$F$10&lt;&gt;"",'Your debts'!$F$8&lt;&gt;"",'Your debts'!$F$10&lt;'Your debts'!$F$8),AB238,0)+IF(AND('Your debts'!$F$11&lt;&gt;"",'Your debts'!$F$8&lt;&gt;"",'Your debts'!$F$11&lt;'Your debts'!$F$8),AG238,0)+IF(AND('Your debts'!$F$12&lt;&gt;"",'Your debts'!$F$8&lt;&gt;"",'Your debts'!$F$12&lt;'Your debts'!$F$8),AL238,0)+IF(AND('Your debts'!$F$13&lt;&gt;"",'Your debts'!$F$8&lt;&gt;"",'Your debts'!$F$13&lt;'Your debts'!$F$8),AQ238,0)+IF(AND('Your debts'!$F$14&lt;&gt;"",'Your debts'!$F$8&lt;&gt;"",'Your debts'!$F$14&lt;'Your debts'!$F$8),AV238,0)+IF(AND('Your debts'!$F$15&lt;&gt;"",'Your debts'!$F$8&lt;&gt;"",'Your debts'!$F$15&lt;'Your debts'!$F$8),BA238,0)))))</f>
        <v/>
      </c>
      <c r="T238" s="33">
        <f>R238-S238</f>
        <v/>
      </c>
      <c r="U238" s="33">
        <f>IF(Y237&lt;=0,0,ROUND(Y237*(1+'Your debts'!$D$9/1200),2))</f>
        <v/>
      </c>
      <c r="V238" s="33">
        <f>IF(U238&lt;=0,0,MIN('Your debts'!$E$9,U238))</f>
        <v/>
      </c>
      <c r="W238" s="33">
        <f>U238-V238</f>
        <v/>
      </c>
      <c r="X238" s="33">
        <f>IF('Your debts'!$F$9="",0,MIN(W238,MAX(0,MAX(0,'Your debts'!$C$19-(G238+L238+Q238+V238+AA238+AF238+AK238+AP238+AU238+AZ238))-(IF(AND('Your debts'!$F$6&lt;&gt;"",'Your debts'!$F$9&lt;&gt;"",'Your debts'!$F$6&lt;'Your debts'!$F$9),H238,0)+IF(AND('Your debts'!$F$7&lt;&gt;"",'Your debts'!$F$9&lt;&gt;"",'Your debts'!$F$7&lt;'Your debts'!$F$9),M238,0)+IF(AND('Your debts'!$F$8&lt;&gt;"",'Your debts'!$F$9&lt;&gt;"",'Your debts'!$F$8&lt;'Your debts'!$F$9),R238,0)+IF(AND('Your debts'!$F$10&lt;&gt;"",'Your debts'!$F$9&lt;&gt;"",'Your debts'!$F$10&lt;'Your debts'!$F$9),AB238,0)+IF(AND('Your debts'!$F$11&lt;&gt;"",'Your debts'!$F$9&lt;&gt;"",'Your debts'!$F$11&lt;'Your debts'!$F$9),AG238,0)+IF(AND('Your debts'!$F$12&lt;&gt;"",'Your debts'!$F$9&lt;&gt;"",'Your debts'!$F$12&lt;'Your debts'!$F$9),AL238,0)+IF(AND('Your debts'!$F$13&lt;&gt;"",'Your debts'!$F$9&lt;&gt;"",'Your debts'!$F$13&lt;'Your debts'!$F$9),AQ238,0)+IF(AND('Your debts'!$F$14&lt;&gt;"",'Your debts'!$F$9&lt;&gt;"",'Your debts'!$F$14&lt;'Your debts'!$F$9),AV238,0)+IF(AND('Your debts'!$F$15&lt;&gt;"",'Your debts'!$F$9&lt;&gt;"",'Your debts'!$F$15&lt;'Your debts'!$F$9),BA238,0)))))</f>
        <v/>
      </c>
      <c r="Y238" s="33">
        <f>W238-X238</f>
        <v/>
      </c>
      <c r="Z238" s="33">
        <f>IF(AD237&lt;=0,0,ROUND(AD237*(1+'Your debts'!$D$10/1200),2))</f>
        <v/>
      </c>
      <c r="AA238" s="33">
        <f>IF(Z238&lt;=0,0,MIN('Your debts'!$E$10,Z238))</f>
        <v/>
      </c>
      <c r="AB238" s="33">
        <f>Z238-AA238</f>
        <v/>
      </c>
      <c r="AC238" s="33">
        <f>IF('Your debts'!$F$10="",0,MIN(AB238,MAX(0,MAX(0,'Your debts'!$C$19-(G238+L238+Q238+V238+AA238+AF238+AK238+AP238+AU238+AZ238))-(IF(AND('Your debts'!$F$6&lt;&gt;"",'Your debts'!$F$10&lt;&gt;"",'Your debts'!$F$6&lt;'Your debts'!$F$10),H238,0)+IF(AND('Your debts'!$F$7&lt;&gt;"",'Your debts'!$F$10&lt;&gt;"",'Your debts'!$F$7&lt;'Your debts'!$F$10),M238,0)+IF(AND('Your debts'!$F$8&lt;&gt;"",'Your debts'!$F$10&lt;&gt;"",'Your debts'!$F$8&lt;'Your debts'!$F$10),R238,0)+IF(AND('Your debts'!$F$9&lt;&gt;"",'Your debts'!$F$10&lt;&gt;"",'Your debts'!$F$9&lt;'Your debts'!$F$10),W238,0)+IF(AND('Your debts'!$F$11&lt;&gt;"",'Your debts'!$F$10&lt;&gt;"",'Your debts'!$F$11&lt;'Your debts'!$F$10),AG238,0)+IF(AND('Your debts'!$F$12&lt;&gt;"",'Your debts'!$F$10&lt;&gt;"",'Your debts'!$F$12&lt;'Your debts'!$F$10),AL238,0)+IF(AND('Your debts'!$F$13&lt;&gt;"",'Your debts'!$F$10&lt;&gt;"",'Your debts'!$F$13&lt;'Your debts'!$F$10),AQ238,0)+IF(AND('Your debts'!$F$14&lt;&gt;"",'Your debts'!$F$10&lt;&gt;"",'Your debts'!$F$14&lt;'Your debts'!$F$10),AV238,0)+IF(AND('Your debts'!$F$15&lt;&gt;"",'Your debts'!$F$10&lt;&gt;"",'Your debts'!$F$15&lt;'Your debts'!$F$10),BA238,0)))))</f>
        <v/>
      </c>
      <c r="AD238" s="33">
        <f>AB238-AC238</f>
        <v/>
      </c>
      <c r="AE238" s="33">
        <f>IF(AI237&lt;=0,0,ROUND(AI237*(1+'Your debts'!$D$11/1200),2))</f>
        <v/>
      </c>
      <c r="AF238" s="33">
        <f>IF(AE238&lt;=0,0,MIN('Your debts'!$E$11,AE238))</f>
        <v/>
      </c>
      <c r="AG238" s="33">
        <f>AE238-AF238</f>
        <v/>
      </c>
      <c r="AH238" s="33">
        <f>IF('Your debts'!$F$11="",0,MIN(AG238,MAX(0,MAX(0,'Your debts'!$C$19-(G238+L238+Q238+V238+AA238+AF238+AK238+AP238+AU238+AZ238))-(IF(AND('Your debts'!$F$6&lt;&gt;"",'Your debts'!$F$11&lt;&gt;"",'Your debts'!$F$6&lt;'Your debts'!$F$11),H238,0)+IF(AND('Your debts'!$F$7&lt;&gt;"",'Your debts'!$F$11&lt;&gt;"",'Your debts'!$F$7&lt;'Your debts'!$F$11),M238,0)+IF(AND('Your debts'!$F$8&lt;&gt;"",'Your debts'!$F$11&lt;&gt;"",'Your debts'!$F$8&lt;'Your debts'!$F$11),R238,0)+IF(AND('Your debts'!$F$9&lt;&gt;"",'Your debts'!$F$11&lt;&gt;"",'Your debts'!$F$9&lt;'Your debts'!$F$11),W238,0)+IF(AND('Your debts'!$F$10&lt;&gt;"",'Your debts'!$F$11&lt;&gt;"",'Your debts'!$F$10&lt;'Your debts'!$F$11),AB238,0)+IF(AND('Your debts'!$F$12&lt;&gt;"",'Your debts'!$F$11&lt;&gt;"",'Your debts'!$F$12&lt;'Your debts'!$F$11),AL238,0)+IF(AND('Your debts'!$F$13&lt;&gt;"",'Your debts'!$F$11&lt;&gt;"",'Your debts'!$F$13&lt;'Your debts'!$F$11),AQ238,0)+IF(AND('Your debts'!$F$14&lt;&gt;"",'Your debts'!$F$11&lt;&gt;"",'Your debts'!$F$14&lt;'Your debts'!$F$11),AV238,0)+IF(AND('Your debts'!$F$15&lt;&gt;"",'Your debts'!$F$11&lt;&gt;"",'Your debts'!$F$15&lt;'Your debts'!$F$11),BA238,0)))))</f>
        <v/>
      </c>
      <c r="AI238" s="33">
        <f>AG238-AH238</f>
        <v/>
      </c>
      <c r="AJ238" s="33">
        <f>IF(AN237&lt;=0,0,ROUND(AN237*(1+'Your debts'!$D$12/1200),2))</f>
        <v/>
      </c>
      <c r="AK238" s="33">
        <f>IF(AJ238&lt;=0,0,MIN('Your debts'!$E$12,AJ238))</f>
        <v/>
      </c>
      <c r="AL238" s="33">
        <f>AJ238-AK238</f>
        <v/>
      </c>
      <c r="AM238" s="33">
        <f>IF('Your debts'!$F$12="",0,MIN(AL238,MAX(0,MAX(0,'Your debts'!$C$19-(G238+L238+Q238+V238+AA238+AF238+AK238+AP238+AU238+AZ238))-(IF(AND('Your debts'!$F$6&lt;&gt;"",'Your debts'!$F$12&lt;&gt;"",'Your debts'!$F$6&lt;'Your debts'!$F$12),H238,0)+IF(AND('Your debts'!$F$7&lt;&gt;"",'Your debts'!$F$12&lt;&gt;"",'Your debts'!$F$7&lt;'Your debts'!$F$12),M238,0)+IF(AND('Your debts'!$F$8&lt;&gt;"",'Your debts'!$F$12&lt;&gt;"",'Your debts'!$F$8&lt;'Your debts'!$F$12),R238,0)+IF(AND('Your debts'!$F$9&lt;&gt;"",'Your debts'!$F$12&lt;&gt;"",'Your debts'!$F$9&lt;'Your debts'!$F$12),W238,0)+IF(AND('Your debts'!$F$10&lt;&gt;"",'Your debts'!$F$12&lt;&gt;"",'Your debts'!$F$10&lt;'Your debts'!$F$12),AB238,0)+IF(AND('Your debts'!$F$11&lt;&gt;"",'Your debts'!$F$12&lt;&gt;"",'Your debts'!$F$11&lt;'Your debts'!$F$12),AG238,0)+IF(AND('Your debts'!$F$13&lt;&gt;"",'Your debts'!$F$12&lt;&gt;"",'Your debts'!$F$13&lt;'Your debts'!$F$12),AQ238,0)+IF(AND('Your debts'!$F$14&lt;&gt;"",'Your debts'!$F$12&lt;&gt;"",'Your debts'!$F$14&lt;'Your debts'!$F$12),AV238,0)+IF(AND('Your debts'!$F$15&lt;&gt;"",'Your debts'!$F$12&lt;&gt;"",'Your debts'!$F$15&lt;'Your debts'!$F$12),BA238,0)))))</f>
        <v/>
      </c>
      <c r="AN238" s="33">
        <f>AL238-AM238</f>
        <v/>
      </c>
      <c r="AO238" s="33">
        <f>IF(AS237&lt;=0,0,ROUND(AS237*(1+'Your debts'!$D$13/1200),2))</f>
        <v/>
      </c>
      <c r="AP238" s="33">
        <f>IF(AO238&lt;=0,0,MIN('Your debts'!$E$13,AO238))</f>
        <v/>
      </c>
      <c r="AQ238" s="33">
        <f>AO238-AP238</f>
        <v/>
      </c>
      <c r="AR238" s="33">
        <f>IF('Your debts'!$F$13="",0,MIN(AQ238,MAX(0,MAX(0,'Your debts'!$C$19-(G238+L238+Q238+V238+AA238+AF238+AK238+AP238+AU238+AZ238))-(IF(AND('Your debts'!$F$6&lt;&gt;"",'Your debts'!$F$13&lt;&gt;"",'Your debts'!$F$6&lt;'Your debts'!$F$13),H238,0)+IF(AND('Your debts'!$F$7&lt;&gt;"",'Your debts'!$F$13&lt;&gt;"",'Your debts'!$F$7&lt;'Your debts'!$F$13),M238,0)+IF(AND('Your debts'!$F$8&lt;&gt;"",'Your debts'!$F$13&lt;&gt;"",'Your debts'!$F$8&lt;'Your debts'!$F$13),R238,0)+IF(AND('Your debts'!$F$9&lt;&gt;"",'Your debts'!$F$13&lt;&gt;"",'Your debts'!$F$9&lt;'Your debts'!$F$13),W238,0)+IF(AND('Your debts'!$F$10&lt;&gt;"",'Your debts'!$F$13&lt;&gt;"",'Your debts'!$F$10&lt;'Your debts'!$F$13),AB238,0)+IF(AND('Your debts'!$F$11&lt;&gt;"",'Your debts'!$F$13&lt;&gt;"",'Your debts'!$F$11&lt;'Your debts'!$F$13),AG238,0)+IF(AND('Your debts'!$F$12&lt;&gt;"",'Your debts'!$F$13&lt;&gt;"",'Your debts'!$F$12&lt;'Your debts'!$F$13),AL238,0)+IF(AND('Your debts'!$F$14&lt;&gt;"",'Your debts'!$F$13&lt;&gt;"",'Your debts'!$F$14&lt;'Your debts'!$F$13),AV238,0)+IF(AND('Your debts'!$F$15&lt;&gt;"",'Your debts'!$F$13&lt;&gt;"",'Your debts'!$F$15&lt;'Your debts'!$F$13),BA238,0)))))</f>
        <v/>
      </c>
      <c r="AS238" s="33">
        <f>AQ238-AR238</f>
        <v/>
      </c>
      <c r="AT238" s="33">
        <f>IF(AX237&lt;=0,0,ROUND(AX237*(1+'Your debts'!$D$14/1200),2))</f>
        <v/>
      </c>
      <c r="AU238" s="33">
        <f>IF(AT238&lt;=0,0,MIN('Your debts'!$E$14,AT238))</f>
        <v/>
      </c>
      <c r="AV238" s="33">
        <f>AT238-AU238</f>
        <v/>
      </c>
      <c r="AW238" s="33">
        <f>IF('Your debts'!$F$14="",0,MIN(AV238,MAX(0,MAX(0,'Your debts'!$C$19-(G238+L238+Q238+V238+AA238+AF238+AK238+AP238+AU238+AZ238))-(IF(AND('Your debts'!$F$6&lt;&gt;"",'Your debts'!$F$14&lt;&gt;"",'Your debts'!$F$6&lt;'Your debts'!$F$14),H238,0)+IF(AND('Your debts'!$F$7&lt;&gt;"",'Your debts'!$F$14&lt;&gt;"",'Your debts'!$F$7&lt;'Your debts'!$F$14),M238,0)+IF(AND('Your debts'!$F$8&lt;&gt;"",'Your debts'!$F$14&lt;&gt;"",'Your debts'!$F$8&lt;'Your debts'!$F$14),R238,0)+IF(AND('Your debts'!$F$9&lt;&gt;"",'Your debts'!$F$14&lt;&gt;"",'Your debts'!$F$9&lt;'Your debts'!$F$14),W238,0)+IF(AND('Your debts'!$F$10&lt;&gt;"",'Your debts'!$F$14&lt;&gt;"",'Your debts'!$F$10&lt;'Your debts'!$F$14),AB238,0)+IF(AND('Your debts'!$F$11&lt;&gt;"",'Your debts'!$F$14&lt;&gt;"",'Your debts'!$F$11&lt;'Your debts'!$F$14),AG238,0)+IF(AND('Your debts'!$F$12&lt;&gt;"",'Your debts'!$F$14&lt;&gt;"",'Your debts'!$F$12&lt;'Your debts'!$F$14),AL238,0)+IF(AND('Your debts'!$F$13&lt;&gt;"",'Your debts'!$F$14&lt;&gt;"",'Your debts'!$F$13&lt;'Your debts'!$F$14),AQ238,0)+IF(AND('Your debts'!$F$15&lt;&gt;"",'Your debts'!$F$14&lt;&gt;"",'Your debts'!$F$15&lt;'Your debts'!$F$14),BA238,0)))))</f>
        <v/>
      </c>
      <c r="AX238" s="33">
        <f>AV238-AW238</f>
        <v/>
      </c>
      <c r="AY238" s="33">
        <f>IF(BC237&lt;=0,0,ROUND(BC237*(1+'Your debts'!$D$15/1200),2))</f>
        <v/>
      </c>
      <c r="AZ238" s="33">
        <f>IF(AY238&lt;=0,0,MIN('Your debts'!$E$15,AY238))</f>
        <v/>
      </c>
      <c r="BA238" s="33">
        <f>AY238-AZ238</f>
        <v/>
      </c>
      <c r="BB238" s="33">
        <f>IF('Your debts'!$F$15="",0,MIN(BA238,MAX(0,MAX(0,'Your debts'!$C$19-(G238+L238+Q238+V238+AA238+AF238+AK238+AP238+AU238+AZ238))-(IF(AND('Your debts'!$F$6&lt;&gt;"",'Your debts'!$F$15&lt;&gt;"",'Your debts'!$F$6&lt;'Your debts'!$F$15),H238,0)+IF(AND('Your debts'!$F$7&lt;&gt;"",'Your debts'!$F$15&lt;&gt;"",'Your debts'!$F$7&lt;'Your debts'!$F$15),M238,0)+IF(AND('Your debts'!$F$8&lt;&gt;"",'Your debts'!$F$15&lt;&gt;"",'Your debts'!$F$8&lt;'Your debts'!$F$15),R238,0)+IF(AND('Your debts'!$F$9&lt;&gt;"",'Your debts'!$F$15&lt;&gt;"",'Your debts'!$F$9&lt;'Your debts'!$F$15),W238,0)+IF(AND('Your debts'!$F$10&lt;&gt;"",'Your debts'!$F$15&lt;&gt;"",'Your debts'!$F$10&lt;'Your debts'!$F$15),AB238,0)+IF(AND('Your debts'!$F$11&lt;&gt;"",'Your debts'!$F$15&lt;&gt;"",'Your debts'!$F$11&lt;'Your debts'!$F$15),AG238,0)+IF(AND('Your debts'!$F$12&lt;&gt;"",'Your debts'!$F$15&lt;&gt;"",'Your debts'!$F$12&lt;'Your debts'!$F$15),AL238,0)+IF(AND('Your debts'!$F$13&lt;&gt;"",'Your debts'!$F$15&lt;&gt;"",'Your debts'!$F$13&lt;'Your debts'!$F$15),AQ238,0)+IF(AND('Your debts'!$F$14&lt;&gt;"",'Your debts'!$F$15&lt;&gt;"",'Your debts'!$F$14&lt;'Your debts'!$F$15),AV238,0)))))</f>
        <v/>
      </c>
      <c r="BC238" s="33">
        <f>BA238-BB238</f>
        <v/>
      </c>
    </row>
    <row r="239">
      <c r="A239" s="30" t="n">
        <v>224</v>
      </c>
      <c r="B239" s="31">
        <f>EDATE($B$15,224)</f>
        <v/>
      </c>
      <c r="C239" s="32">
        <f>IF(J238&lt;=0,0,F239-J238)+IF(O238&lt;=0,0,K239-O238)+IF(T238&lt;=0,0,P239-T238)+IF(Y238&lt;=0,0,U239-Y238)+IF(AD238&lt;=0,0,Z239-AD238)+IF(AI238&lt;=0,0,AE239-AI238)+IF(AN238&lt;=0,0,AJ239-AN238)+IF(AS238&lt;=0,0,AO239-AS238)+IF(AX238&lt;=0,0,AT239-AX238)+IF(BC238&lt;=0,0,AY239-BC238)</f>
        <v/>
      </c>
      <c r="D239" s="32">
        <f>G239+I239+L239+N239+Q239+S239+V239+X239+AA239+AC239+AF239+AH239+AK239+AM239+AP239+AR239+AU239+AW239+AZ239+BB239</f>
        <v/>
      </c>
      <c r="E239" s="32">
        <f>J239+O239+T239+Y239+AD239+AI239+AN239+AS239+AX239+BC239</f>
        <v/>
      </c>
      <c r="F239" s="33">
        <f>IF(J238&lt;=0,0,ROUND(J238*(1+'Your debts'!$D$6/1200),2))</f>
        <v/>
      </c>
      <c r="G239" s="33">
        <f>IF(F239&lt;=0,0,MIN('Your debts'!$E$6,F239))</f>
        <v/>
      </c>
      <c r="H239" s="33">
        <f>F239-G239</f>
        <v/>
      </c>
      <c r="I239" s="33">
        <f>IF('Your debts'!$F$6="",0,MIN(H239,MAX(0,MAX(0,'Your debts'!$C$19-(G239+L239+Q239+V239+AA239+AF239+AK239+AP239+AU239+AZ239))-(IF(AND('Your debts'!$F$7&lt;&gt;"",'Your debts'!$F$6&lt;&gt;"",'Your debts'!$F$7&lt;'Your debts'!$F$6),M239,0)+IF(AND('Your debts'!$F$8&lt;&gt;"",'Your debts'!$F$6&lt;&gt;"",'Your debts'!$F$8&lt;'Your debts'!$F$6),R239,0)+IF(AND('Your debts'!$F$9&lt;&gt;"",'Your debts'!$F$6&lt;&gt;"",'Your debts'!$F$9&lt;'Your debts'!$F$6),W239,0)+IF(AND('Your debts'!$F$10&lt;&gt;"",'Your debts'!$F$6&lt;&gt;"",'Your debts'!$F$10&lt;'Your debts'!$F$6),AB239,0)+IF(AND('Your debts'!$F$11&lt;&gt;"",'Your debts'!$F$6&lt;&gt;"",'Your debts'!$F$11&lt;'Your debts'!$F$6),AG239,0)+IF(AND('Your debts'!$F$12&lt;&gt;"",'Your debts'!$F$6&lt;&gt;"",'Your debts'!$F$12&lt;'Your debts'!$F$6),AL239,0)+IF(AND('Your debts'!$F$13&lt;&gt;"",'Your debts'!$F$6&lt;&gt;"",'Your debts'!$F$13&lt;'Your debts'!$F$6),AQ239,0)+IF(AND('Your debts'!$F$14&lt;&gt;"",'Your debts'!$F$6&lt;&gt;"",'Your debts'!$F$14&lt;'Your debts'!$F$6),AV239,0)+IF(AND('Your debts'!$F$15&lt;&gt;"",'Your debts'!$F$6&lt;&gt;"",'Your debts'!$F$15&lt;'Your debts'!$F$6),BA239,0)))))</f>
        <v/>
      </c>
      <c r="J239" s="33">
        <f>H239-I239</f>
        <v/>
      </c>
      <c r="K239" s="33">
        <f>IF(O238&lt;=0,0,ROUND(O238*(1+'Your debts'!$D$7/1200),2))</f>
        <v/>
      </c>
      <c r="L239" s="33">
        <f>IF(K239&lt;=0,0,MIN('Your debts'!$E$7,K239))</f>
        <v/>
      </c>
      <c r="M239" s="33">
        <f>K239-L239</f>
        <v/>
      </c>
      <c r="N239" s="33">
        <f>IF('Your debts'!$F$7="",0,MIN(M239,MAX(0,MAX(0,'Your debts'!$C$19-(G239+L239+Q239+V239+AA239+AF239+AK239+AP239+AU239+AZ239))-(IF(AND('Your debts'!$F$6&lt;&gt;"",'Your debts'!$F$7&lt;&gt;"",'Your debts'!$F$6&lt;'Your debts'!$F$7),H239,0)+IF(AND('Your debts'!$F$8&lt;&gt;"",'Your debts'!$F$7&lt;&gt;"",'Your debts'!$F$8&lt;'Your debts'!$F$7),R239,0)+IF(AND('Your debts'!$F$9&lt;&gt;"",'Your debts'!$F$7&lt;&gt;"",'Your debts'!$F$9&lt;'Your debts'!$F$7),W239,0)+IF(AND('Your debts'!$F$10&lt;&gt;"",'Your debts'!$F$7&lt;&gt;"",'Your debts'!$F$10&lt;'Your debts'!$F$7),AB239,0)+IF(AND('Your debts'!$F$11&lt;&gt;"",'Your debts'!$F$7&lt;&gt;"",'Your debts'!$F$11&lt;'Your debts'!$F$7),AG239,0)+IF(AND('Your debts'!$F$12&lt;&gt;"",'Your debts'!$F$7&lt;&gt;"",'Your debts'!$F$12&lt;'Your debts'!$F$7),AL239,0)+IF(AND('Your debts'!$F$13&lt;&gt;"",'Your debts'!$F$7&lt;&gt;"",'Your debts'!$F$13&lt;'Your debts'!$F$7),AQ239,0)+IF(AND('Your debts'!$F$14&lt;&gt;"",'Your debts'!$F$7&lt;&gt;"",'Your debts'!$F$14&lt;'Your debts'!$F$7),AV239,0)+IF(AND('Your debts'!$F$15&lt;&gt;"",'Your debts'!$F$7&lt;&gt;"",'Your debts'!$F$15&lt;'Your debts'!$F$7),BA239,0)))))</f>
        <v/>
      </c>
      <c r="O239" s="33">
        <f>M239-N239</f>
        <v/>
      </c>
      <c r="P239" s="33">
        <f>IF(T238&lt;=0,0,ROUND(T238*(1+'Your debts'!$D$8/1200),2))</f>
        <v/>
      </c>
      <c r="Q239" s="33">
        <f>IF(P239&lt;=0,0,MIN('Your debts'!$E$8,P239))</f>
        <v/>
      </c>
      <c r="R239" s="33">
        <f>P239-Q239</f>
        <v/>
      </c>
      <c r="S239" s="33">
        <f>IF('Your debts'!$F$8="",0,MIN(R239,MAX(0,MAX(0,'Your debts'!$C$19-(G239+L239+Q239+V239+AA239+AF239+AK239+AP239+AU239+AZ239))-(IF(AND('Your debts'!$F$6&lt;&gt;"",'Your debts'!$F$8&lt;&gt;"",'Your debts'!$F$6&lt;'Your debts'!$F$8),H239,0)+IF(AND('Your debts'!$F$7&lt;&gt;"",'Your debts'!$F$8&lt;&gt;"",'Your debts'!$F$7&lt;'Your debts'!$F$8),M239,0)+IF(AND('Your debts'!$F$9&lt;&gt;"",'Your debts'!$F$8&lt;&gt;"",'Your debts'!$F$9&lt;'Your debts'!$F$8),W239,0)+IF(AND('Your debts'!$F$10&lt;&gt;"",'Your debts'!$F$8&lt;&gt;"",'Your debts'!$F$10&lt;'Your debts'!$F$8),AB239,0)+IF(AND('Your debts'!$F$11&lt;&gt;"",'Your debts'!$F$8&lt;&gt;"",'Your debts'!$F$11&lt;'Your debts'!$F$8),AG239,0)+IF(AND('Your debts'!$F$12&lt;&gt;"",'Your debts'!$F$8&lt;&gt;"",'Your debts'!$F$12&lt;'Your debts'!$F$8),AL239,0)+IF(AND('Your debts'!$F$13&lt;&gt;"",'Your debts'!$F$8&lt;&gt;"",'Your debts'!$F$13&lt;'Your debts'!$F$8),AQ239,0)+IF(AND('Your debts'!$F$14&lt;&gt;"",'Your debts'!$F$8&lt;&gt;"",'Your debts'!$F$14&lt;'Your debts'!$F$8),AV239,0)+IF(AND('Your debts'!$F$15&lt;&gt;"",'Your debts'!$F$8&lt;&gt;"",'Your debts'!$F$15&lt;'Your debts'!$F$8),BA239,0)))))</f>
        <v/>
      </c>
      <c r="T239" s="33">
        <f>R239-S239</f>
        <v/>
      </c>
      <c r="U239" s="33">
        <f>IF(Y238&lt;=0,0,ROUND(Y238*(1+'Your debts'!$D$9/1200),2))</f>
        <v/>
      </c>
      <c r="V239" s="33">
        <f>IF(U239&lt;=0,0,MIN('Your debts'!$E$9,U239))</f>
        <v/>
      </c>
      <c r="W239" s="33">
        <f>U239-V239</f>
        <v/>
      </c>
      <c r="X239" s="33">
        <f>IF('Your debts'!$F$9="",0,MIN(W239,MAX(0,MAX(0,'Your debts'!$C$19-(G239+L239+Q239+V239+AA239+AF239+AK239+AP239+AU239+AZ239))-(IF(AND('Your debts'!$F$6&lt;&gt;"",'Your debts'!$F$9&lt;&gt;"",'Your debts'!$F$6&lt;'Your debts'!$F$9),H239,0)+IF(AND('Your debts'!$F$7&lt;&gt;"",'Your debts'!$F$9&lt;&gt;"",'Your debts'!$F$7&lt;'Your debts'!$F$9),M239,0)+IF(AND('Your debts'!$F$8&lt;&gt;"",'Your debts'!$F$9&lt;&gt;"",'Your debts'!$F$8&lt;'Your debts'!$F$9),R239,0)+IF(AND('Your debts'!$F$10&lt;&gt;"",'Your debts'!$F$9&lt;&gt;"",'Your debts'!$F$10&lt;'Your debts'!$F$9),AB239,0)+IF(AND('Your debts'!$F$11&lt;&gt;"",'Your debts'!$F$9&lt;&gt;"",'Your debts'!$F$11&lt;'Your debts'!$F$9),AG239,0)+IF(AND('Your debts'!$F$12&lt;&gt;"",'Your debts'!$F$9&lt;&gt;"",'Your debts'!$F$12&lt;'Your debts'!$F$9),AL239,0)+IF(AND('Your debts'!$F$13&lt;&gt;"",'Your debts'!$F$9&lt;&gt;"",'Your debts'!$F$13&lt;'Your debts'!$F$9),AQ239,0)+IF(AND('Your debts'!$F$14&lt;&gt;"",'Your debts'!$F$9&lt;&gt;"",'Your debts'!$F$14&lt;'Your debts'!$F$9),AV239,0)+IF(AND('Your debts'!$F$15&lt;&gt;"",'Your debts'!$F$9&lt;&gt;"",'Your debts'!$F$15&lt;'Your debts'!$F$9),BA239,0)))))</f>
        <v/>
      </c>
      <c r="Y239" s="33">
        <f>W239-X239</f>
        <v/>
      </c>
      <c r="Z239" s="33">
        <f>IF(AD238&lt;=0,0,ROUND(AD238*(1+'Your debts'!$D$10/1200),2))</f>
        <v/>
      </c>
      <c r="AA239" s="33">
        <f>IF(Z239&lt;=0,0,MIN('Your debts'!$E$10,Z239))</f>
        <v/>
      </c>
      <c r="AB239" s="33">
        <f>Z239-AA239</f>
        <v/>
      </c>
      <c r="AC239" s="33">
        <f>IF('Your debts'!$F$10="",0,MIN(AB239,MAX(0,MAX(0,'Your debts'!$C$19-(G239+L239+Q239+V239+AA239+AF239+AK239+AP239+AU239+AZ239))-(IF(AND('Your debts'!$F$6&lt;&gt;"",'Your debts'!$F$10&lt;&gt;"",'Your debts'!$F$6&lt;'Your debts'!$F$10),H239,0)+IF(AND('Your debts'!$F$7&lt;&gt;"",'Your debts'!$F$10&lt;&gt;"",'Your debts'!$F$7&lt;'Your debts'!$F$10),M239,0)+IF(AND('Your debts'!$F$8&lt;&gt;"",'Your debts'!$F$10&lt;&gt;"",'Your debts'!$F$8&lt;'Your debts'!$F$10),R239,0)+IF(AND('Your debts'!$F$9&lt;&gt;"",'Your debts'!$F$10&lt;&gt;"",'Your debts'!$F$9&lt;'Your debts'!$F$10),W239,0)+IF(AND('Your debts'!$F$11&lt;&gt;"",'Your debts'!$F$10&lt;&gt;"",'Your debts'!$F$11&lt;'Your debts'!$F$10),AG239,0)+IF(AND('Your debts'!$F$12&lt;&gt;"",'Your debts'!$F$10&lt;&gt;"",'Your debts'!$F$12&lt;'Your debts'!$F$10),AL239,0)+IF(AND('Your debts'!$F$13&lt;&gt;"",'Your debts'!$F$10&lt;&gt;"",'Your debts'!$F$13&lt;'Your debts'!$F$10),AQ239,0)+IF(AND('Your debts'!$F$14&lt;&gt;"",'Your debts'!$F$10&lt;&gt;"",'Your debts'!$F$14&lt;'Your debts'!$F$10),AV239,0)+IF(AND('Your debts'!$F$15&lt;&gt;"",'Your debts'!$F$10&lt;&gt;"",'Your debts'!$F$15&lt;'Your debts'!$F$10),BA239,0)))))</f>
        <v/>
      </c>
      <c r="AD239" s="33">
        <f>AB239-AC239</f>
        <v/>
      </c>
      <c r="AE239" s="33">
        <f>IF(AI238&lt;=0,0,ROUND(AI238*(1+'Your debts'!$D$11/1200),2))</f>
        <v/>
      </c>
      <c r="AF239" s="33">
        <f>IF(AE239&lt;=0,0,MIN('Your debts'!$E$11,AE239))</f>
        <v/>
      </c>
      <c r="AG239" s="33">
        <f>AE239-AF239</f>
        <v/>
      </c>
      <c r="AH239" s="33">
        <f>IF('Your debts'!$F$11="",0,MIN(AG239,MAX(0,MAX(0,'Your debts'!$C$19-(G239+L239+Q239+V239+AA239+AF239+AK239+AP239+AU239+AZ239))-(IF(AND('Your debts'!$F$6&lt;&gt;"",'Your debts'!$F$11&lt;&gt;"",'Your debts'!$F$6&lt;'Your debts'!$F$11),H239,0)+IF(AND('Your debts'!$F$7&lt;&gt;"",'Your debts'!$F$11&lt;&gt;"",'Your debts'!$F$7&lt;'Your debts'!$F$11),M239,0)+IF(AND('Your debts'!$F$8&lt;&gt;"",'Your debts'!$F$11&lt;&gt;"",'Your debts'!$F$8&lt;'Your debts'!$F$11),R239,0)+IF(AND('Your debts'!$F$9&lt;&gt;"",'Your debts'!$F$11&lt;&gt;"",'Your debts'!$F$9&lt;'Your debts'!$F$11),W239,0)+IF(AND('Your debts'!$F$10&lt;&gt;"",'Your debts'!$F$11&lt;&gt;"",'Your debts'!$F$10&lt;'Your debts'!$F$11),AB239,0)+IF(AND('Your debts'!$F$12&lt;&gt;"",'Your debts'!$F$11&lt;&gt;"",'Your debts'!$F$12&lt;'Your debts'!$F$11),AL239,0)+IF(AND('Your debts'!$F$13&lt;&gt;"",'Your debts'!$F$11&lt;&gt;"",'Your debts'!$F$13&lt;'Your debts'!$F$11),AQ239,0)+IF(AND('Your debts'!$F$14&lt;&gt;"",'Your debts'!$F$11&lt;&gt;"",'Your debts'!$F$14&lt;'Your debts'!$F$11),AV239,0)+IF(AND('Your debts'!$F$15&lt;&gt;"",'Your debts'!$F$11&lt;&gt;"",'Your debts'!$F$15&lt;'Your debts'!$F$11),BA239,0)))))</f>
        <v/>
      </c>
      <c r="AI239" s="33">
        <f>AG239-AH239</f>
        <v/>
      </c>
      <c r="AJ239" s="33">
        <f>IF(AN238&lt;=0,0,ROUND(AN238*(1+'Your debts'!$D$12/1200),2))</f>
        <v/>
      </c>
      <c r="AK239" s="33">
        <f>IF(AJ239&lt;=0,0,MIN('Your debts'!$E$12,AJ239))</f>
        <v/>
      </c>
      <c r="AL239" s="33">
        <f>AJ239-AK239</f>
        <v/>
      </c>
      <c r="AM239" s="33">
        <f>IF('Your debts'!$F$12="",0,MIN(AL239,MAX(0,MAX(0,'Your debts'!$C$19-(G239+L239+Q239+V239+AA239+AF239+AK239+AP239+AU239+AZ239))-(IF(AND('Your debts'!$F$6&lt;&gt;"",'Your debts'!$F$12&lt;&gt;"",'Your debts'!$F$6&lt;'Your debts'!$F$12),H239,0)+IF(AND('Your debts'!$F$7&lt;&gt;"",'Your debts'!$F$12&lt;&gt;"",'Your debts'!$F$7&lt;'Your debts'!$F$12),M239,0)+IF(AND('Your debts'!$F$8&lt;&gt;"",'Your debts'!$F$12&lt;&gt;"",'Your debts'!$F$8&lt;'Your debts'!$F$12),R239,0)+IF(AND('Your debts'!$F$9&lt;&gt;"",'Your debts'!$F$12&lt;&gt;"",'Your debts'!$F$9&lt;'Your debts'!$F$12),W239,0)+IF(AND('Your debts'!$F$10&lt;&gt;"",'Your debts'!$F$12&lt;&gt;"",'Your debts'!$F$10&lt;'Your debts'!$F$12),AB239,0)+IF(AND('Your debts'!$F$11&lt;&gt;"",'Your debts'!$F$12&lt;&gt;"",'Your debts'!$F$11&lt;'Your debts'!$F$12),AG239,0)+IF(AND('Your debts'!$F$13&lt;&gt;"",'Your debts'!$F$12&lt;&gt;"",'Your debts'!$F$13&lt;'Your debts'!$F$12),AQ239,0)+IF(AND('Your debts'!$F$14&lt;&gt;"",'Your debts'!$F$12&lt;&gt;"",'Your debts'!$F$14&lt;'Your debts'!$F$12),AV239,0)+IF(AND('Your debts'!$F$15&lt;&gt;"",'Your debts'!$F$12&lt;&gt;"",'Your debts'!$F$15&lt;'Your debts'!$F$12),BA239,0)))))</f>
        <v/>
      </c>
      <c r="AN239" s="33">
        <f>AL239-AM239</f>
        <v/>
      </c>
      <c r="AO239" s="33">
        <f>IF(AS238&lt;=0,0,ROUND(AS238*(1+'Your debts'!$D$13/1200),2))</f>
        <v/>
      </c>
      <c r="AP239" s="33">
        <f>IF(AO239&lt;=0,0,MIN('Your debts'!$E$13,AO239))</f>
        <v/>
      </c>
      <c r="AQ239" s="33">
        <f>AO239-AP239</f>
        <v/>
      </c>
      <c r="AR239" s="33">
        <f>IF('Your debts'!$F$13="",0,MIN(AQ239,MAX(0,MAX(0,'Your debts'!$C$19-(G239+L239+Q239+V239+AA239+AF239+AK239+AP239+AU239+AZ239))-(IF(AND('Your debts'!$F$6&lt;&gt;"",'Your debts'!$F$13&lt;&gt;"",'Your debts'!$F$6&lt;'Your debts'!$F$13),H239,0)+IF(AND('Your debts'!$F$7&lt;&gt;"",'Your debts'!$F$13&lt;&gt;"",'Your debts'!$F$7&lt;'Your debts'!$F$13),M239,0)+IF(AND('Your debts'!$F$8&lt;&gt;"",'Your debts'!$F$13&lt;&gt;"",'Your debts'!$F$8&lt;'Your debts'!$F$13),R239,0)+IF(AND('Your debts'!$F$9&lt;&gt;"",'Your debts'!$F$13&lt;&gt;"",'Your debts'!$F$9&lt;'Your debts'!$F$13),W239,0)+IF(AND('Your debts'!$F$10&lt;&gt;"",'Your debts'!$F$13&lt;&gt;"",'Your debts'!$F$10&lt;'Your debts'!$F$13),AB239,0)+IF(AND('Your debts'!$F$11&lt;&gt;"",'Your debts'!$F$13&lt;&gt;"",'Your debts'!$F$11&lt;'Your debts'!$F$13),AG239,0)+IF(AND('Your debts'!$F$12&lt;&gt;"",'Your debts'!$F$13&lt;&gt;"",'Your debts'!$F$12&lt;'Your debts'!$F$13),AL239,0)+IF(AND('Your debts'!$F$14&lt;&gt;"",'Your debts'!$F$13&lt;&gt;"",'Your debts'!$F$14&lt;'Your debts'!$F$13),AV239,0)+IF(AND('Your debts'!$F$15&lt;&gt;"",'Your debts'!$F$13&lt;&gt;"",'Your debts'!$F$15&lt;'Your debts'!$F$13),BA239,0)))))</f>
        <v/>
      </c>
      <c r="AS239" s="33">
        <f>AQ239-AR239</f>
        <v/>
      </c>
      <c r="AT239" s="33">
        <f>IF(AX238&lt;=0,0,ROUND(AX238*(1+'Your debts'!$D$14/1200),2))</f>
        <v/>
      </c>
      <c r="AU239" s="33">
        <f>IF(AT239&lt;=0,0,MIN('Your debts'!$E$14,AT239))</f>
        <v/>
      </c>
      <c r="AV239" s="33">
        <f>AT239-AU239</f>
        <v/>
      </c>
      <c r="AW239" s="33">
        <f>IF('Your debts'!$F$14="",0,MIN(AV239,MAX(0,MAX(0,'Your debts'!$C$19-(G239+L239+Q239+V239+AA239+AF239+AK239+AP239+AU239+AZ239))-(IF(AND('Your debts'!$F$6&lt;&gt;"",'Your debts'!$F$14&lt;&gt;"",'Your debts'!$F$6&lt;'Your debts'!$F$14),H239,0)+IF(AND('Your debts'!$F$7&lt;&gt;"",'Your debts'!$F$14&lt;&gt;"",'Your debts'!$F$7&lt;'Your debts'!$F$14),M239,0)+IF(AND('Your debts'!$F$8&lt;&gt;"",'Your debts'!$F$14&lt;&gt;"",'Your debts'!$F$8&lt;'Your debts'!$F$14),R239,0)+IF(AND('Your debts'!$F$9&lt;&gt;"",'Your debts'!$F$14&lt;&gt;"",'Your debts'!$F$9&lt;'Your debts'!$F$14),W239,0)+IF(AND('Your debts'!$F$10&lt;&gt;"",'Your debts'!$F$14&lt;&gt;"",'Your debts'!$F$10&lt;'Your debts'!$F$14),AB239,0)+IF(AND('Your debts'!$F$11&lt;&gt;"",'Your debts'!$F$14&lt;&gt;"",'Your debts'!$F$11&lt;'Your debts'!$F$14),AG239,0)+IF(AND('Your debts'!$F$12&lt;&gt;"",'Your debts'!$F$14&lt;&gt;"",'Your debts'!$F$12&lt;'Your debts'!$F$14),AL239,0)+IF(AND('Your debts'!$F$13&lt;&gt;"",'Your debts'!$F$14&lt;&gt;"",'Your debts'!$F$13&lt;'Your debts'!$F$14),AQ239,0)+IF(AND('Your debts'!$F$15&lt;&gt;"",'Your debts'!$F$14&lt;&gt;"",'Your debts'!$F$15&lt;'Your debts'!$F$14),BA239,0)))))</f>
        <v/>
      </c>
      <c r="AX239" s="33">
        <f>AV239-AW239</f>
        <v/>
      </c>
      <c r="AY239" s="33">
        <f>IF(BC238&lt;=0,0,ROUND(BC238*(1+'Your debts'!$D$15/1200),2))</f>
        <v/>
      </c>
      <c r="AZ239" s="33">
        <f>IF(AY239&lt;=0,0,MIN('Your debts'!$E$15,AY239))</f>
        <v/>
      </c>
      <c r="BA239" s="33">
        <f>AY239-AZ239</f>
        <v/>
      </c>
      <c r="BB239" s="33">
        <f>IF('Your debts'!$F$15="",0,MIN(BA239,MAX(0,MAX(0,'Your debts'!$C$19-(G239+L239+Q239+V239+AA239+AF239+AK239+AP239+AU239+AZ239))-(IF(AND('Your debts'!$F$6&lt;&gt;"",'Your debts'!$F$15&lt;&gt;"",'Your debts'!$F$6&lt;'Your debts'!$F$15),H239,0)+IF(AND('Your debts'!$F$7&lt;&gt;"",'Your debts'!$F$15&lt;&gt;"",'Your debts'!$F$7&lt;'Your debts'!$F$15),M239,0)+IF(AND('Your debts'!$F$8&lt;&gt;"",'Your debts'!$F$15&lt;&gt;"",'Your debts'!$F$8&lt;'Your debts'!$F$15),R239,0)+IF(AND('Your debts'!$F$9&lt;&gt;"",'Your debts'!$F$15&lt;&gt;"",'Your debts'!$F$9&lt;'Your debts'!$F$15),W239,0)+IF(AND('Your debts'!$F$10&lt;&gt;"",'Your debts'!$F$15&lt;&gt;"",'Your debts'!$F$10&lt;'Your debts'!$F$15),AB239,0)+IF(AND('Your debts'!$F$11&lt;&gt;"",'Your debts'!$F$15&lt;&gt;"",'Your debts'!$F$11&lt;'Your debts'!$F$15),AG239,0)+IF(AND('Your debts'!$F$12&lt;&gt;"",'Your debts'!$F$15&lt;&gt;"",'Your debts'!$F$12&lt;'Your debts'!$F$15),AL239,0)+IF(AND('Your debts'!$F$13&lt;&gt;"",'Your debts'!$F$15&lt;&gt;"",'Your debts'!$F$13&lt;'Your debts'!$F$15),AQ239,0)+IF(AND('Your debts'!$F$14&lt;&gt;"",'Your debts'!$F$15&lt;&gt;"",'Your debts'!$F$14&lt;'Your debts'!$F$15),AV239,0)))))</f>
        <v/>
      </c>
      <c r="BC239" s="33">
        <f>BA239-BB239</f>
        <v/>
      </c>
    </row>
    <row r="240">
      <c r="A240" s="30" t="n">
        <v>225</v>
      </c>
      <c r="B240" s="31">
        <f>EDATE($B$15,225)</f>
        <v/>
      </c>
      <c r="C240" s="32">
        <f>IF(J239&lt;=0,0,F240-J239)+IF(O239&lt;=0,0,K240-O239)+IF(T239&lt;=0,0,P240-T239)+IF(Y239&lt;=0,0,U240-Y239)+IF(AD239&lt;=0,0,Z240-AD239)+IF(AI239&lt;=0,0,AE240-AI239)+IF(AN239&lt;=0,0,AJ240-AN239)+IF(AS239&lt;=0,0,AO240-AS239)+IF(AX239&lt;=0,0,AT240-AX239)+IF(BC239&lt;=0,0,AY240-BC239)</f>
        <v/>
      </c>
      <c r="D240" s="32">
        <f>G240+I240+L240+N240+Q240+S240+V240+X240+AA240+AC240+AF240+AH240+AK240+AM240+AP240+AR240+AU240+AW240+AZ240+BB240</f>
        <v/>
      </c>
      <c r="E240" s="32">
        <f>J240+O240+T240+Y240+AD240+AI240+AN240+AS240+AX240+BC240</f>
        <v/>
      </c>
      <c r="F240" s="33">
        <f>IF(J239&lt;=0,0,ROUND(J239*(1+'Your debts'!$D$6/1200),2))</f>
        <v/>
      </c>
      <c r="G240" s="33">
        <f>IF(F240&lt;=0,0,MIN('Your debts'!$E$6,F240))</f>
        <v/>
      </c>
      <c r="H240" s="33">
        <f>F240-G240</f>
        <v/>
      </c>
      <c r="I240" s="33">
        <f>IF('Your debts'!$F$6="",0,MIN(H240,MAX(0,MAX(0,'Your debts'!$C$19-(G240+L240+Q240+V240+AA240+AF240+AK240+AP240+AU240+AZ240))-(IF(AND('Your debts'!$F$7&lt;&gt;"",'Your debts'!$F$6&lt;&gt;"",'Your debts'!$F$7&lt;'Your debts'!$F$6),M240,0)+IF(AND('Your debts'!$F$8&lt;&gt;"",'Your debts'!$F$6&lt;&gt;"",'Your debts'!$F$8&lt;'Your debts'!$F$6),R240,0)+IF(AND('Your debts'!$F$9&lt;&gt;"",'Your debts'!$F$6&lt;&gt;"",'Your debts'!$F$9&lt;'Your debts'!$F$6),W240,0)+IF(AND('Your debts'!$F$10&lt;&gt;"",'Your debts'!$F$6&lt;&gt;"",'Your debts'!$F$10&lt;'Your debts'!$F$6),AB240,0)+IF(AND('Your debts'!$F$11&lt;&gt;"",'Your debts'!$F$6&lt;&gt;"",'Your debts'!$F$11&lt;'Your debts'!$F$6),AG240,0)+IF(AND('Your debts'!$F$12&lt;&gt;"",'Your debts'!$F$6&lt;&gt;"",'Your debts'!$F$12&lt;'Your debts'!$F$6),AL240,0)+IF(AND('Your debts'!$F$13&lt;&gt;"",'Your debts'!$F$6&lt;&gt;"",'Your debts'!$F$13&lt;'Your debts'!$F$6),AQ240,0)+IF(AND('Your debts'!$F$14&lt;&gt;"",'Your debts'!$F$6&lt;&gt;"",'Your debts'!$F$14&lt;'Your debts'!$F$6),AV240,0)+IF(AND('Your debts'!$F$15&lt;&gt;"",'Your debts'!$F$6&lt;&gt;"",'Your debts'!$F$15&lt;'Your debts'!$F$6),BA240,0)))))</f>
        <v/>
      </c>
      <c r="J240" s="33">
        <f>H240-I240</f>
        <v/>
      </c>
      <c r="K240" s="33">
        <f>IF(O239&lt;=0,0,ROUND(O239*(1+'Your debts'!$D$7/1200),2))</f>
        <v/>
      </c>
      <c r="L240" s="33">
        <f>IF(K240&lt;=0,0,MIN('Your debts'!$E$7,K240))</f>
        <v/>
      </c>
      <c r="M240" s="33">
        <f>K240-L240</f>
        <v/>
      </c>
      <c r="N240" s="33">
        <f>IF('Your debts'!$F$7="",0,MIN(M240,MAX(0,MAX(0,'Your debts'!$C$19-(G240+L240+Q240+V240+AA240+AF240+AK240+AP240+AU240+AZ240))-(IF(AND('Your debts'!$F$6&lt;&gt;"",'Your debts'!$F$7&lt;&gt;"",'Your debts'!$F$6&lt;'Your debts'!$F$7),H240,0)+IF(AND('Your debts'!$F$8&lt;&gt;"",'Your debts'!$F$7&lt;&gt;"",'Your debts'!$F$8&lt;'Your debts'!$F$7),R240,0)+IF(AND('Your debts'!$F$9&lt;&gt;"",'Your debts'!$F$7&lt;&gt;"",'Your debts'!$F$9&lt;'Your debts'!$F$7),W240,0)+IF(AND('Your debts'!$F$10&lt;&gt;"",'Your debts'!$F$7&lt;&gt;"",'Your debts'!$F$10&lt;'Your debts'!$F$7),AB240,0)+IF(AND('Your debts'!$F$11&lt;&gt;"",'Your debts'!$F$7&lt;&gt;"",'Your debts'!$F$11&lt;'Your debts'!$F$7),AG240,0)+IF(AND('Your debts'!$F$12&lt;&gt;"",'Your debts'!$F$7&lt;&gt;"",'Your debts'!$F$12&lt;'Your debts'!$F$7),AL240,0)+IF(AND('Your debts'!$F$13&lt;&gt;"",'Your debts'!$F$7&lt;&gt;"",'Your debts'!$F$13&lt;'Your debts'!$F$7),AQ240,0)+IF(AND('Your debts'!$F$14&lt;&gt;"",'Your debts'!$F$7&lt;&gt;"",'Your debts'!$F$14&lt;'Your debts'!$F$7),AV240,0)+IF(AND('Your debts'!$F$15&lt;&gt;"",'Your debts'!$F$7&lt;&gt;"",'Your debts'!$F$15&lt;'Your debts'!$F$7),BA240,0)))))</f>
        <v/>
      </c>
      <c r="O240" s="33">
        <f>M240-N240</f>
        <v/>
      </c>
      <c r="P240" s="33">
        <f>IF(T239&lt;=0,0,ROUND(T239*(1+'Your debts'!$D$8/1200),2))</f>
        <v/>
      </c>
      <c r="Q240" s="33">
        <f>IF(P240&lt;=0,0,MIN('Your debts'!$E$8,P240))</f>
        <v/>
      </c>
      <c r="R240" s="33">
        <f>P240-Q240</f>
        <v/>
      </c>
      <c r="S240" s="33">
        <f>IF('Your debts'!$F$8="",0,MIN(R240,MAX(0,MAX(0,'Your debts'!$C$19-(G240+L240+Q240+V240+AA240+AF240+AK240+AP240+AU240+AZ240))-(IF(AND('Your debts'!$F$6&lt;&gt;"",'Your debts'!$F$8&lt;&gt;"",'Your debts'!$F$6&lt;'Your debts'!$F$8),H240,0)+IF(AND('Your debts'!$F$7&lt;&gt;"",'Your debts'!$F$8&lt;&gt;"",'Your debts'!$F$7&lt;'Your debts'!$F$8),M240,0)+IF(AND('Your debts'!$F$9&lt;&gt;"",'Your debts'!$F$8&lt;&gt;"",'Your debts'!$F$9&lt;'Your debts'!$F$8),W240,0)+IF(AND('Your debts'!$F$10&lt;&gt;"",'Your debts'!$F$8&lt;&gt;"",'Your debts'!$F$10&lt;'Your debts'!$F$8),AB240,0)+IF(AND('Your debts'!$F$11&lt;&gt;"",'Your debts'!$F$8&lt;&gt;"",'Your debts'!$F$11&lt;'Your debts'!$F$8),AG240,0)+IF(AND('Your debts'!$F$12&lt;&gt;"",'Your debts'!$F$8&lt;&gt;"",'Your debts'!$F$12&lt;'Your debts'!$F$8),AL240,0)+IF(AND('Your debts'!$F$13&lt;&gt;"",'Your debts'!$F$8&lt;&gt;"",'Your debts'!$F$13&lt;'Your debts'!$F$8),AQ240,0)+IF(AND('Your debts'!$F$14&lt;&gt;"",'Your debts'!$F$8&lt;&gt;"",'Your debts'!$F$14&lt;'Your debts'!$F$8),AV240,0)+IF(AND('Your debts'!$F$15&lt;&gt;"",'Your debts'!$F$8&lt;&gt;"",'Your debts'!$F$15&lt;'Your debts'!$F$8),BA240,0)))))</f>
        <v/>
      </c>
      <c r="T240" s="33">
        <f>R240-S240</f>
        <v/>
      </c>
      <c r="U240" s="33">
        <f>IF(Y239&lt;=0,0,ROUND(Y239*(1+'Your debts'!$D$9/1200),2))</f>
        <v/>
      </c>
      <c r="V240" s="33">
        <f>IF(U240&lt;=0,0,MIN('Your debts'!$E$9,U240))</f>
        <v/>
      </c>
      <c r="W240" s="33">
        <f>U240-V240</f>
        <v/>
      </c>
      <c r="X240" s="33">
        <f>IF('Your debts'!$F$9="",0,MIN(W240,MAX(0,MAX(0,'Your debts'!$C$19-(G240+L240+Q240+V240+AA240+AF240+AK240+AP240+AU240+AZ240))-(IF(AND('Your debts'!$F$6&lt;&gt;"",'Your debts'!$F$9&lt;&gt;"",'Your debts'!$F$6&lt;'Your debts'!$F$9),H240,0)+IF(AND('Your debts'!$F$7&lt;&gt;"",'Your debts'!$F$9&lt;&gt;"",'Your debts'!$F$7&lt;'Your debts'!$F$9),M240,0)+IF(AND('Your debts'!$F$8&lt;&gt;"",'Your debts'!$F$9&lt;&gt;"",'Your debts'!$F$8&lt;'Your debts'!$F$9),R240,0)+IF(AND('Your debts'!$F$10&lt;&gt;"",'Your debts'!$F$9&lt;&gt;"",'Your debts'!$F$10&lt;'Your debts'!$F$9),AB240,0)+IF(AND('Your debts'!$F$11&lt;&gt;"",'Your debts'!$F$9&lt;&gt;"",'Your debts'!$F$11&lt;'Your debts'!$F$9),AG240,0)+IF(AND('Your debts'!$F$12&lt;&gt;"",'Your debts'!$F$9&lt;&gt;"",'Your debts'!$F$12&lt;'Your debts'!$F$9),AL240,0)+IF(AND('Your debts'!$F$13&lt;&gt;"",'Your debts'!$F$9&lt;&gt;"",'Your debts'!$F$13&lt;'Your debts'!$F$9),AQ240,0)+IF(AND('Your debts'!$F$14&lt;&gt;"",'Your debts'!$F$9&lt;&gt;"",'Your debts'!$F$14&lt;'Your debts'!$F$9),AV240,0)+IF(AND('Your debts'!$F$15&lt;&gt;"",'Your debts'!$F$9&lt;&gt;"",'Your debts'!$F$15&lt;'Your debts'!$F$9),BA240,0)))))</f>
        <v/>
      </c>
      <c r="Y240" s="33">
        <f>W240-X240</f>
        <v/>
      </c>
      <c r="Z240" s="33">
        <f>IF(AD239&lt;=0,0,ROUND(AD239*(1+'Your debts'!$D$10/1200),2))</f>
        <v/>
      </c>
      <c r="AA240" s="33">
        <f>IF(Z240&lt;=0,0,MIN('Your debts'!$E$10,Z240))</f>
        <v/>
      </c>
      <c r="AB240" s="33">
        <f>Z240-AA240</f>
        <v/>
      </c>
      <c r="AC240" s="33">
        <f>IF('Your debts'!$F$10="",0,MIN(AB240,MAX(0,MAX(0,'Your debts'!$C$19-(G240+L240+Q240+V240+AA240+AF240+AK240+AP240+AU240+AZ240))-(IF(AND('Your debts'!$F$6&lt;&gt;"",'Your debts'!$F$10&lt;&gt;"",'Your debts'!$F$6&lt;'Your debts'!$F$10),H240,0)+IF(AND('Your debts'!$F$7&lt;&gt;"",'Your debts'!$F$10&lt;&gt;"",'Your debts'!$F$7&lt;'Your debts'!$F$10),M240,0)+IF(AND('Your debts'!$F$8&lt;&gt;"",'Your debts'!$F$10&lt;&gt;"",'Your debts'!$F$8&lt;'Your debts'!$F$10),R240,0)+IF(AND('Your debts'!$F$9&lt;&gt;"",'Your debts'!$F$10&lt;&gt;"",'Your debts'!$F$9&lt;'Your debts'!$F$10),W240,0)+IF(AND('Your debts'!$F$11&lt;&gt;"",'Your debts'!$F$10&lt;&gt;"",'Your debts'!$F$11&lt;'Your debts'!$F$10),AG240,0)+IF(AND('Your debts'!$F$12&lt;&gt;"",'Your debts'!$F$10&lt;&gt;"",'Your debts'!$F$12&lt;'Your debts'!$F$10),AL240,0)+IF(AND('Your debts'!$F$13&lt;&gt;"",'Your debts'!$F$10&lt;&gt;"",'Your debts'!$F$13&lt;'Your debts'!$F$10),AQ240,0)+IF(AND('Your debts'!$F$14&lt;&gt;"",'Your debts'!$F$10&lt;&gt;"",'Your debts'!$F$14&lt;'Your debts'!$F$10),AV240,0)+IF(AND('Your debts'!$F$15&lt;&gt;"",'Your debts'!$F$10&lt;&gt;"",'Your debts'!$F$15&lt;'Your debts'!$F$10),BA240,0)))))</f>
        <v/>
      </c>
      <c r="AD240" s="33">
        <f>AB240-AC240</f>
        <v/>
      </c>
      <c r="AE240" s="33">
        <f>IF(AI239&lt;=0,0,ROUND(AI239*(1+'Your debts'!$D$11/1200),2))</f>
        <v/>
      </c>
      <c r="AF240" s="33">
        <f>IF(AE240&lt;=0,0,MIN('Your debts'!$E$11,AE240))</f>
        <v/>
      </c>
      <c r="AG240" s="33">
        <f>AE240-AF240</f>
        <v/>
      </c>
      <c r="AH240" s="33">
        <f>IF('Your debts'!$F$11="",0,MIN(AG240,MAX(0,MAX(0,'Your debts'!$C$19-(G240+L240+Q240+V240+AA240+AF240+AK240+AP240+AU240+AZ240))-(IF(AND('Your debts'!$F$6&lt;&gt;"",'Your debts'!$F$11&lt;&gt;"",'Your debts'!$F$6&lt;'Your debts'!$F$11),H240,0)+IF(AND('Your debts'!$F$7&lt;&gt;"",'Your debts'!$F$11&lt;&gt;"",'Your debts'!$F$7&lt;'Your debts'!$F$11),M240,0)+IF(AND('Your debts'!$F$8&lt;&gt;"",'Your debts'!$F$11&lt;&gt;"",'Your debts'!$F$8&lt;'Your debts'!$F$11),R240,0)+IF(AND('Your debts'!$F$9&lt;&gt;"",'Your debts'!$F$11&lt;&gt;"",'Your debts'!$F$9&lt;'Your debts'!$F$11),W240,0)+IF(AND('Your debts'!$F$10&lt;&gt;"",'Your debts'!$F$11&lt;&gt;"",'Your debts'!$F$10&lt;'Your debts'!$F$11),AB240,0)+IF(AND('Your debts'!$F$12&lt;&gt;"",'Your debts'!$F$11&lt;&gt;"",'Your debts'!$F$12&lt;'Your debts'!$F$11),AL240,0)+IF(AND('Your debts'!$F$13&lt;&gt;"",'Your debts'!$F$11&lt;&gt;"",'Your debts'!$F$13&lt;'Your debts'!$F$11),AQ240,0)+IF(AND('Your debts'!$F$14&lt;&gt;"",'Your debts'!$F$11&lt;&gt;"",'Your debts'!$F$14&lt;'Your debts'!$F$11),AV240,0)+IF(AND('Your debts'!$F$15&lt;&gt;"",'Your debts'!$F$11&lt;&gt;"",'Your debts'!$F$15&lt;'Your debts'!$F$11),BA240,0)))))</f>
        <v/>
      </c>
      <c r="AI240" s="33">
        <f>AG240-AH240</f>
        <v/>
      </c>
      <c r="AJ240" s="33">
        <f>IF(AN239&lt;=0,0,ROUND(AN239*(1+'Your debts'!$D$12/1200),2))</f>
        <v/>
      </c>
      <c r="AK240" s="33">
        <f>IF(AJ240&lt;=0,0,MIN('Your debts'!$E$12,AJ240))</f>
        <v/>
      </c>
      <c r="AL240" s="33">
        <f>AJ240-AK240</f>
        <v/>
      </c>
      <c r="AM240" s="33">
        <f>IF('Your debts'!$F$12="",0,MIN(AL240,MAX(0,MAX(0,'Your debts'!$C$19-(G240+L240+Q240+V240+AA240+AF240+AK240+AP240+AU240+AZ240))-(IF(AND('Your debts'!$F$6&lt;&gt;"",'Your debts'!$F$12&lt;&gt;"",'Your debts'!$F$6&lt;'Your debts'!$F$12),H240,0)+IF(AND('Your debts'!$F$7&lt;&gt;"",'Your debts'!$F$12&lt;&gt;"",'Your debts'!$F$7&lt;'Your debts'!$F$12),M240,0)+IF(AND('Your debts'!$F$8&lt;&gt;"",'Your debts'!$F$12&lt;&gt;"",'Your debts'!$F$8&lt;'Your debts'!$F$12),R240,0)+IF(AND('Your debts'!$F$9&lt;&gt;"",'Your debts'!$F$12&lt;&gt;"",'Your debts'!$F$9&lt;'Your debts'!$F$12),W240,0)+IF(AND('Your debts'!$F$10&lt;&gt;"",'Your debts'!$F$12&lt;&gt;"",'Your debts'!$F$10&lt;'Your debts'!$F$12),AB240,0)+IF(AND('Your debts'!$F$11&lt;&gt;"",'Your debts'!$F$12&lt;&gt;"",'Your debts'!$F$11&lt;'Your debts'!$F$12),AG240,0)+IF(AND('Your debts'!$F$13&lt;&gt;"",'Your debts'!$F$12&lt;&gt;"",'Your debts'!$F$13&lt;'Your debts'!$F$12),AQ240,0)+IF(AND('Your debts'!$F$14&lt;&gt;"",'Your debts'!$F$12&lt;&gt;"",'Your debts'!$F$14&lt;'Your debts'!$F$12),AV240,0)+IF(AND('Your debts'!$F$15&lt;&gt;"",'Your debts'!$F$12&lt;&gt;"",'Your debts'!$F$15&lt;'Your debts'!$F$12),BA240,0)))))</f>
        <v/>
      </c>
      <c r="AN240" s="33">
        <f>AL240-AM240</f>
        <v/>
      </c>
      <c r="AO240" s="33">
        <f>IF(AS239&lt;=0,0,ROUND(AS239*(1+'Your debts'!$D$13/1200),2))</f>
        <v/>
      </c>
      <c r="AP240" s="33">
        <f>IF(AO240&lt;=0,0,MIN('Your debts'!$E$13,AO240))</f>
        <v/>
      </c>
      <c r="AQ240" s="33">
        <f>AO240-AP240</f>
        <v/>
      </c>
      <c r="AR240" s="33">
        <f>IF('Your debts'!$F$13="",0,MIN(AQ240,MAX(0,MAX(0,'Your debts'!$C$19-(G240+L240+Q240+V240+AA240+AF240+AK240+AP240+AU240+AZ240))-(IF(AND('Your debts'!$F$6&lt;&gt;"",'Your debts'!$F$13&lt;&gt;"",'Your debts'!$F$6&lt;'Your debts'!$F$13),H240,0)+IF(AND('Your debts'!$F$7&lt;&gt;"",'Your debts'!$F$13&lt;&gt;"",'Your debts'!$F$7&lt;'Your debts'!$F$13),M240,0)+IF(AND('Your debts'!$F$8&lt;&gt;"",'Your debts'!$F$13&lt;&gt;"",'Your debts'!$F$8&lt;'Your debts'!$F$13),R240,0)+IF(AND('Your debts'!$F$9&lt;&gt;"",'Your debts'!$F$13&lt;&gt;"",'Your debts'!$F$9&lt;'Your debts'!$F$13),W240,0)+IF(AND('Your debts'!$F$10&lt;&gt;"",'Your debts'!$F$13&lt;&gt;"",'Your debts'!$F$10&lt;'Your debts'!$F$13),AB240,0)+IF(AND('Your debts'!$F$11&lt;&gt;"",'Your debts'!$F$13&lt;&gt;"",'Your debts'!$F$11&lt;'Your debts'!$F$13),AG240,0)+IF(AND('Your debts'!$F$12&lt;&gt;"",'Your debts'!$F$13&lt;&gt;"",'Your debts'!$F$12&lt;'Your debts'!$F$13),AL240,0)+IF(AND('Your debts'!$F$14&lt;&gt;"",'Your debts'!$F$13&lt;&gt;"",'Your debts'!$F$14&lt;'Your debts'!$F$13),AV240,0)+IF(AND('Your debts'!$F$15&lt;&gt;"",'Your debts'!$F$13&lt;&gt;"",'Your debts'!$F$15&lt;'Your debts'!$F$13),BA240,0)))))</f>
        <v/>
      </c>
      <c r="AS240" s="33">
        <f>AQ240-AR240</f>
        <v/>
      </c>
      <c r="AT240" s="33">
        <f>IF(AX239&lt;=0,0,ROUND(AX239*(1+'Your debts'!$D$14/1200),2))</f>
        <v/>
      </c>
      <c r="AU240" s="33">
        <f>IF(AT240&lt;=0,0,MIN('Your debts'!$E$14,AT240))</f>
        <v/>
      </c>
      <c r="AV240" s="33">
        <f>AT240-AU240</f>
        <v/>
      </c>
      <c r="AW240" s="33">
        <f>IF('Your debts'!$F$14="",0,MIN(AV240,MAX(0,MAX(0,'Your debts'!$C$19-(G240+L240+Q240+V240+AA240+AF240+AK240+AP240+AU240+AZ240))-(IF(AND('Your debts'!$F$6&lt;&gt;"",'Your debts'!$F$14&lt;&gt;"",'Your debts'!$F$6&lt;'Your debts'!$F$14),H240,0)+IF(AND('Your debts'!$F$7&lt;&gt;"",'Your debts'!$F$14&lt;&gt;"",'Your debts'!$F$7&lt;'Your debts'!$F$14),M240,0)+IF(AND('Your debts'!$F$8&lt;&gt;"",'Your debts'!$F$14&lt;&gt;"",'Your debts'!$F$8&lt;'Your debts'!$F$14),R240,0)+IF(AND('Your debts'!$F$9&lt;&gt;"",'Your debts'!$F$14&lt;&gt;"",'Your debts'!$F$9&lt;'Your debts'!$F$14),W240,0)+IF(AND('Your debts'!$F$10&lt;&gt;"",'Your debts'!$F$14&lt;&gt;"",'Your debts'!$F$10&lt;'Your debts'!$F$14),AB240,0)+IF(AND('Your debts'!$F$11&lt;&gt;"",'Your debts'!$F$14&lt;&gt;"",'Your debts'!$F$11&lt;'Your debts'!$F$14),AG240,0)+IF(AND('Your debts'!$F$12&lt;&gt;"",'Your debts'!$F$14&lt;&gt;"",'Your debts'!$F$12&lt;'Your debts'!$F$14),AL240,0)+IF(AND('Your debts'!$F$13&lt;&gt;"",'Your debts'!$F$14&lt;&gt;"",'Your debts'!$F$13&lt;'Your debts'!$F$14),AQ240,0)+IF(AND('Your debts'!$F$15&lt;&gt;"",'Your debts'!$F$14&lt;&gt;"",'Your debts'!$F$15&lt;'Your debts'!$F$14),BA240,0)))))</f>
        <v/>
      </c>
      <c r="AX240" s="33">
        <f>AV240-AW240</f>
        <v/>
      </c>
      <c r="AY240" s="33">
        <f>IF(BC239&lt;=0,0,ROUND(BC239*(1+'Your debts'!$D$15/1200),2))</f>
        <v/>
      </c>
      <c r="AZ240" s="33">
        <f>IF(AY240&lt;=0,0,MIN('Your debts'!$E$15,AY240))</f>
        <v/>
      </c>
      <c r="BA240" s="33">
        <f>AY240-AZ240</f>
        <v/>
      </c>
      <c r="BB240" s="33">
        <f>IF('Your debts'!$F$15="",0,MIN(BA240,MAX(0,MAX(0,'Your debts'!$C$19-(G240+L240+Q240+V240+AA240+AF240+AK240+AP240+AU240+AZ240))-(IF(AND('Your debts'!$F$6&lt;&gt;"",'Your debts'!$F$15&lt;&gt;"",'Your debts'!$F$6&lt;'Your debts'!$F$15),H240,0)+IF(AND('Your debts'!$F$7&lt;&gt;"",'Your debts'!$F$15&lt;&gt;"",'Your debts'!$F$7&lt;'Your debts'!$F$15),M240,0)+IF(AND('Your debts'!$F$8&lt;&gt;"",'Your debts'!$F$15&lt;&gt;"",'Your debts'!$F$8&lt;'Your debts'!$F$15),R240,0)+IF(AND('Your debts'!$F$9&lt;&gt;"",'Your debts'!$F$15&lt;&gt;"",'Your debts'!$F$9&lt;'Your debts'!$F$15),W240,0)+IF(AND('Your debts'!$F$10&lt;&gt;"",'Your debts'!$F$15&lt;&gt;"",'Your debts'!$F$10&lt;'Your debts'!$F$15),AB240,0)+IF(AND('Your debts'!$F$11&lt;&gt;"",'Your debts'!$F$15&lt;&gt;"",'Your debts'!$F$11&lt;'Your debts'!$F$15),AG240,0)+IF(AND('Your debts'!$F$12&lt;&gt;"",'Your debts'!$F$15&lt;&gt;"",'Your debts'!$F$12&lt;'Your debts'!$F$15),AL240,0)+IF(AND('Your debts'!$F$13&lt;&gt;"",'Your debts'!$F$15&lt;&gt;"",'Your debts'!$F$13&lt;'Your debts'!$F$15),AQ240,0)+IF(AND('Your debts'!$F$14&lt;&gt;"",'Your debts'!$F$15&lt;&gt;"",'Your debts'!$F$14&lt;'Your debts'!$F$15),AV240,0)))))</f>
        <v/>
      </c>
      <c r="BC240" s="33">
        <f>BA240-BB240</f>
        <v/>
      </c>
    </row>
    <row r="241">
      <c r="A241" s="30" t="n">
        <v>226</v>
      </c>
      <c r="B241" s="31">
        <f>EDATE($B$15,226)</f>
        <v/>
      </c>
      <c r="C241" s="32">
        <f>IF(J240&lt;=0,0,F241-J240)+IF(O240&lt;=0,0,K241-O240)+IF(T240&lt;=0,0,P241-T240)+IF(Y240&lt;=0,0,U241-Y240)+IF(AD240&lt;=0,0,Z241-AD240)+IF(AI240&lt;=0,0,AE241-AI240)+IF(AN240&lt;=0,0,AJ241-AN240)+IF(AS240&lt;=0,0,AO241-AS240)+IF(AX240&lt;=0,0,AT241-AX240)+IF(BC240&lt;=0,0,AY241-BC240)</f>
        <v/>
      </c>
      <c r="D241" s="32">
        <f>G241+I241+L241+N241+Q241+S241+V241+X241+AA241+AC241+AF241+AH241+AK241+AM241+AP241+AR241+AU241+AW241+AZ241+BB241</f>
        <v/>
      </c>
      <c r="E241" s="32">
        <f>J241+O241+T241+Y241+AD241+AI241+AN241+AS241+AX241+BC241</f>
        <v/>
      </c>
      <c r="F241" s="33">
        <f>IF(J240&lt;=0,0,ROUND(J240*(1+'Your debts'!$D$6/1200),2))</f>
        <v/>
      </c>
      <c r="G241" s="33">
        <f>IF(F241&lt;=0,0,MIN('Your debts'!$E$6,F241))</f>
        <v/>
      </c>
      <c r="H241" s="33">
        <f>F241-G241</f>
        <v/>
      </c>
      <c r="I241" s="33">
        <f>IF('Your debts'!$F$6="",0,MIN(H241,MAX(0,MAX(0,'Your debts'!$C$19-(G241+L241+Q241+V241+AA241+AF241+AK241+AP241+AU241+AZ241))-(IF(AND('Your debts'!$F$7&lt;&gt;"",'Your debts'!$F$6&lt;&gt;"",'Your debts'!$F$7&lt;'Your debts'!$F$6),M241,0)+IF(AND('Your debts'!$F$8&lt;&gt;"",'Your debts'!$F$6&lt;&gt;"",'Your debts'!$F$8&lt;'Your debts'!$F$6),R241,0)+IF(AND('Your debts'!$F$9&lt;&gt;"",'Your debts'!$F$6&lt;&gt;"",'Your debts'!$F$9&lt;'Your debts'!$F$6),W241,0)+IF(AND('Your debts'!$F$10&lt;&gt;"",'Your debts'!$F$6&lt;&gt;"",'Your debts'!$F$10&lt;'Your debts'!$F$6),AB241,0)+IF(AND('Your debts'!$F$11&lt;&gt;"",'Your debts'!$F$6&lt;&gt;"",'Your debts'!$F$11&lt;'Your debts'!$F$6),AG241,0)+IF(AND('Your debts'!$F$12&lt;&gt;"",'Your debts'!$F$6&lt;&gt;"",'Your debts'!$F$12&lt;'Your debts'!$F$6),AL241,0)+IF(AND('Your debts'!$F$13&lt;&gt;"",'Your debts'!$F$6&lt;&gt;"",'Your debts'!$F$13&lt;'Your debts'!$F$6),AQ241,0)+IF(AND('Your debts'!$F$14&lt;&gt;"",'Your debts'!$F$6&lt;&gt;"",'Your debts'!$F$14&lt;'Your debts'!$F$6),AV241,0)+IF(AND('Your debts'!$F$15&lt;&gt;"",'Your debts'!$F$6&lt;&gt;"",'Your debts'!$F$15&lt;'Your debts'!$F$6),BA241,0)))))</f>
        <v/>
      </c>
      <c r="J241" s="33">
        <f>H241-I241</f>
        <v/>
      </c>
      <c r="K241" s="33">
        <f>IF(O240&lt;=0,0,ROUND(O240*(1+'Your debts'!$D$7/1200),2))</f>
        <v/>
      </c>
      <c r="L241" s="33">
        <f>IF(K241&lt;=0,0,MIN('Your debts'!$E$7,K241))</f>
        <v/>
      </c>
      <c r="M241" s="33">
        <f>K241-L241</f>
        <v/>
      </c>
      <c r="N241" s="33">
        <f>IF('Your debts'!$F$7="",0,MIN(M241,MAX(0,MAX(0,'Your debts'!$C$19-(G241+L241+Q241+V241+AA241+AF241+AK241+AP241+AU241+AZ241))-(IF(AND('Your debts'!$F$6&lt;&gt;"",'Your debts'!$F$7&lt;&gt;"",'Your debts'!$F$6&lt;'Your debts'!$F$7),H241,0)+IF(AND('Your debts'!$F$8&lt;&gt;"",'Your debts'!$F$7&lt;&gt;"",'Your debts'!$F$8&lt;'Your debts'!$F$7),R241,0)+IF(AND('Your debts'!$F$9&lt;&gt;"",'Your debts'!$F$7&lt;&gt;"",'Your debts'!$F$9&lt;'Your debts'!$F$7),W241,0)+IF(AND('Your debts'!$F$10&lt;&gt;"",'Your debts'!$F$7&lt;&gt;"",'Your debts'!$F$10&lt;'Your debts'!$F$7),AB241,0)+IF(AND('Your debts'!$F$11&lt;&gt;"",'Your debts'!$F$7&lt;&gt;"",'Your debts'!$F$11&lt;'Your debts'!$F$7),AG241,0)+IF(AND('Your debts'!$F$12&lt;&gt;"",'Your debts'!$F$7&lt;&gt;"",'Your debts'!$F$12&lt;'Your debts'!$F$7),AL241,0)+IF(AND('Your debts'!$F$13&lt;&gt;"",'Your debts'!$F$7&lt;&gt;"",'Your debts'!$F$13&lt;'Your debts'!$F$7),AQ241,0)+IF(AND('Your debts'!$F$14&lt;&gt;"",'Your debts'!$F$7&lt;&gt;"",'Your debts'!$F$14&lt;'Your debts'!$F$7),AV241,0)+IF(AND('Your debts'!$F$15&lt;&gt;"",'Your debts'!$F$7&lt;&gt;"",'Your debts'!$F$15&lt;'Your debts'!$F$7),BA241,0)))))</f>
        <v/>
      </c>
      <c r="O241" s="33">
        <f>M241-N241</f>
        <v/>
      </c>
      <c r="P241" s="33">
        <f>IF(T240&lt;=0,0,ROUND(T240*(1+'Your debts'!$D$8/1200),2))</f>
        <v/>
      </c>
      <c r="Q241" s="33">
        <f>IF(P241&lt;=0,0,MIN('Your debts'!$E$8,P241))</f>
        <v/>
      </c>
      <c r="R241" s="33">
        <f>P241-Q241</f>
        <v/>
      </c>
      <c r="S241" s="33">
        <f>IF('Your debts'!$F$8="",0,MIN(R241,MAX(0,MAX(0,'Your debts'!$C$19-(G241+L241+Q241+V241+AA241+AF241+AK241+AP241+AU241+AZ241))-(IF(AND('Your debts'!$F$6&lt;&gt;"",'Your debts'!$F$8&lt;&gt;"",'Your debts'!$F$6&lt;'Your debts'!$F$8),H241,0)+IF(AND('Your debts'!$F$7&lt;&gt;"",'Your debts'!$F$8&lt;&gt;"",'Your debts'!$F$7&lt;'Your debts'!$F$8),M241,0)+IF(AND('Your debts'!$F$9&lt;&gt;"",'Your debts'!$F$8&lt;&gt;"",'Your debts'!$F$9&lt;'Your debts'!$F$8),W241,0)+IF(AND('Your debts'!$F$10&lt;&gt;"",'Your debts'!$F$8&lt;&gt;"",'Your debts'!$F$10&lt;'Your debts'!$F$8),AB241,0)+IF(AND('Your debts'!$F$11&lt;&gt;"",'Your debts'!$F$8&lt;&gt;"",'Your debts'!$F$11&lt;'Your debts'!$F$8),AG241,0)+IF(AND('Your debts'!$F$12&lt;&gt;"",'Your debts'!$F$8&lt;&gt;"",'Your debts'!$F$12&lt;'Your debts'!$F$8),AL241,0)+IF(AND('Your debts'!$F$13&lt;&gt;"",'Your debts'!$F$8&lt;&gt;"",'Your debts'!$F$13&lt;'Your debts'!$F$8),AQ241,0)+IF(AND('Your debts'!$F$14&lt;&gt;"",'Your debts'!$F$8&lt;&gt;"",'Your debts'!$F$14&lt;'Your debts'!$F$8),AV241,0)+IF(AND('Your debts'!$F$15&lt;&gt;"",'Your debts'!$F$8&lt;&gt;"",'Your debts'!$F$15&lt;'Your debts'!$F$8),BA241,0)))))</f>
        <v/>
      </c>
      <c r="T241" s="33">
        <f>R241-S241</f>
        <v/>
      </c>
      <c r="U241" s="33">
        <f>IF(Y240&lt;=0,0,ROUND(Y240*(1+'Your debts'!$D$9/1200),2))</f>
        <v/>
      </c>
      <c r="V241" s="33">
        <f>IF(U241&lt;=0,0,MIN('Your debts'!$E$9,U241))</f>
        <v/>
      </c>
      <c r="W241" s="33">
        <f>U241-V241</f>
        <v/>
      </c>
      <c r="X241" s="33">
        <f>IF('Your debts'!$F$9="",0,MIN(W241,MAX(0,MAX(0,'Your debts'!$C$19-(G241+L241+Q241+V241+AA241+AF241+AK241+AP241+AU241+AZ241))-(IF(AND('Your debts'!$F$6&lt;&gt;"",'Your debts'!$F$9&lt;&gt;"",'Your debts'!$F$6&lt;'Your debts'!$F$9),H241,0)+IF(AND('Your debts'!$F$7&lt;&gt;"",'Your debts'!$F$9&lt;&gt;"",'Your debts'!$F$7&lt;'Your debts'!$F$9),M241,0)+IF(AND('Your debts'!$F$8&lt;&gt;"",'Your debts'!$F$9&lt;&gt;"",'Your debts'!$F$8&lt;'Your debts'!$F$9),R241,0)+IF(AND('Your debts'!$F$10&lt;&gt;"",'Your debts'!$F$9&lt;&gt;"",'Your debts'!$F$10&lt;'Your debts'!$F$9),AB241,0)+IF(AND('Your debts'!$F$11&lt;&gt;"",'Your debts'!$F$9&lt;&gt;"",'Your debts'!$F$11&lt;'Your debts'!$F$9),AG241,0)+IF(AND('Your debts'!$F$12&lt;&gt;"",'Your debts'!$F$9&lt;&gt;"",'Your debts'!$F$12&lt;'Your debts'!$F$9),AL241,0)+IF(AND('Your debts'!$F$13&lt;&gt;"",'Your debts'!$F$9&lt;&gt;"",'Your debts'!$F$13&lt;'Your debts'!$F$9),AQ241,0)+IF(AND('Your debts'!$F$14&lt;&gt;"",'Your debts'!$F$9&lt;&gt;"",'Your debts'!$F$14&lt;'Your debts'!$F$9),AV241,0)+IF(AND('Your debts'!$F$15&lt;&gt;"",'Your debts'!$F$9&lt;&gt;"",'Your debts'!$F$15&lt;'Your debts'!$F$9),BA241,0)))))</f>
        <v/>
      </c>
      <c r="Y241" s="33">
        <f>W241-X241</f>
        <v/>
      </c>
      <c r="Z241" s="33">
        <f>IF(AD240&lt;=0,0,ROUND(AD240*(1+'Your debts'!$D$10/1200),2))</f>
        <v/>
      </c>
      <c r="AA241" s="33">
        <f>IF(Z241&lt;=0,0,MIN('Your debts'!$E$10,Z241))</f>
        <v/>
      </c>
      <c r="AB241" s="33">
        <f>Z241-AA241</f>
        <v/>
      </c>
      <c r="AC241" s="33">
        <f>IF('Your debts'!$F$10="",0,MIN(AB241,MAX(0,MAX(0,'Your debts'!$C$19-(G241+L241+Q241+V241+AA241+AF241+AK241+AP241+AU241+AZ241))-(IF(AND('Your debts'!$F$6&lt;&gt;"",'Your debts'!$F$10&lt;&gt;"",'Your debts'!$F$6&lt;'Your debts'!$F$10),H241,0)+IF(AND('Your debts'!$F$7&lt;&gt;"",'Your debts'!$F$10&lt;&gt;"",'Your debts'!$F$7&lt;'Your debts'!$F$10),M241,0)+IF(AND('Your debts'!$F$8&lt;&gt;"",'Your debts'!$F$10&lt;&gt;"",'Your debts'!$F$8&lt;'Your debts'!$F$10),R241,0)+IF(AND('Your debts'!$F$9&lt;&gt;"",'Your debts'!$F$10&lt;&gt;"",'Your debts'!$F$9&lt;'Your debts'!$F$10),W241,0)+IF(AND('Your debts'!$F$11&lt;&gt;"",'Your debts'!$F$10&lt;&gt;"",'Your debts'!$F$11&lt;'Your debts'!$F$10),AG241,0)+IF(AND('Your debts'!$F$12&lt;&gt;"",'Your debts'!$F$10&lt;&gt;"",'Your debts'!$F$12&lt;'Your debts'!$F$10),AL241,0)+IF(AND('Your debts'!$F$13&lt;&gt;"",'Your debts'!$F$10&lt;&gt;"",'Your debts'!$F$13&lt;'Your debts'!$F$10),AQ241,0)+IF(AND('Your debts'!$F$14&lt;&gt;"",'Your debts'!$F$10&lt;&gt;"",'Your debts'!$F$14&lt;'Your debts'!$F$10),AV241,0)+IF(AND('Your debts'!$F$15&lt;&gt;"",'Your debts'!$F$10&lt;&gt;"",'Your debts'!$F$15&lt;'Your debts'!$F$10),BA241,0)))))</f>
        <v/>
      </c>
      <c r="AD241" s="33">
        <f>AB241-AC241</f>
        <v/>
      </c>
      <c r="AE241" s="33">
        <f>IF(AI240&lt;=0,0,ROUND(AI240*(1+'Your debts'!$D$11/1200),2))</f>
        <v/>
      </c>
      <c r="AF241" s="33">
        <f>IF(AE241&lt;=0,0,MIN('Your debts'!$E$11,AE241))</f>
        <v/>
      </c>
      <c r="AG241" s="33">
        <f>AE241-AF241</f>
        <v/>
      </c>
      <c r="AH241" s="33">
        <f>IF('Your debts'!$F$11="",0,MIN(AG241,MAX(0,MAX(0,'Your debts'!$C$19-(G241+L241+Q241+V241+AA241+AF241+AK241+AP241+AU241+AZ241))-(IF(AND('Your debts'!$F$6&lt;&gt;"",'Your debts'!$F$11&lt;&gt;"",'Your debts'!$F$6&lt;'Your debts'!$F$11),H241,0)+IF(AND('Your debts'!$F$7&lt;&gt;"",'Your debts'!$F$11&lt;&gt;"",'Your debts'!$F$7&lt;'Your debts'!$F$11),M241,0)+IF(AND('Your debts'!$F$8&lt;&gt;"",'Your debts'!$F$11&lt;&gt;"",'Your debts'!$F$8&lt;'Your debts'!$F$11),R241,0)+IF(AND('Your debts'!$F$9&lt;&gt;"",'Your debts'!$F$11&lt;&gt;"",'Your debts'!$F$9&lt;'Your debts'!$F$11),W241,0)+IF(AND('Your debts'!$F$10&lt;&gt;"",'Your debts'!$F$11&lt;&gt;"",'Your debts'!$F$10&lt;'Your debts'!$F$11),AB241,0)+IF(AND('Your debts'!$F$12&lt;&gt;"",'Your debts'!$F$11&lt;&gt;"",'Your debts'!$F$12&lt;'Your debts'!$F$11),AL241,0)+IF(AND('Your debts'!$F$13&lt;&gt;"",'Your debts'!$F$11&lt;&gt;"",'Your debts'!$F$13&lt;'Your debts'!$F$11),AQ241,0)+IF(AND('Your debts'!$F$14&lt;&gt;"",'Your debts'!$F$11&lt;&gt;"",'Your debts'!$F$14&lt;'Your debts'!$F$11),AV241,0)+IF(AND('Your debts'!$F$15&lt;&gt;"",'Your debts'!$F$11&lt;&gt;"",'Your debts'!$F$15&lt;'Your debts'!$F$11),BA241,0)))))</f>
        <v/>
      </c>
      <c r="AI241" s="33">
        <f>AG241-AH241</f>
        <v/>
      </c>
      <c r="AJ241" s="33">
        <f>IF(AN240&lt;=0,0,ROUND(AN240*(1+'Your debts'!$D$12/1200),2))</f>
        <v/>
      </c>
      <c r="AK241" s="33">
        <f>IF(AJ241&lt;=0,0,MIN('Your debts'!$E$12,AJ241))</f>
        <v/>
      </c>
      <c r="AL241" s="33">
        <f>AJ241-AK241</f>
        <v/>
      </c>
      <c r="AM241" s="33">
        <f>IF('Your debts'!$F$12="",0,MIN(AL241,MAX(0,MAX(0,'Your debts'!$C$19-(G241+L241+Q241+V241+AA241+AF241+AK241+AP241+AU241+AZ241))-(IF(AND('Your debts'!$F$6&lt;&gt;"",'Your debts'!$F$12&lt;&gt;"",'Your debts'!$F$6&lt;'Your debts'!$F$12),H241,0)+IF(AND('Your debts'!$F$7&lt;&gt;"",'Your debts'!$F$12&lt;&gt;"",'Your debts'!$F$7&lt;'Your debts'!$F$12),M241,0)+IF(AND('Your debts'!$F$8&lt;&gt;"",'Your debts'!$F$12&lt;&gt;"",'Your debts'!$F$8&lt;'Your debts'!$F$12),R241,0)+IF(AND('Your debts'!$F$9&lt;&gt;"",'Your debts'!$F$12&lt;&gt;"",'Your debts'!$F$9&lt;'Your debts'!$F$12),W241,0)+IF(AND('Your debts'!$F$10&lt;&gt;"",'Your debts'!$F$12&lt;&gt;"",'Your debts'!$F$10&lt;'Your debts'!$F$12),AB241,0)+IF(AND('Your debts'!$F$11&lt;&gt;"",'Your debts'!$F$12&lt;&gt;"",'Your debts'!$F$11&lt;'Your debts'!$F$12),AG241,0)+IF(AND('Your debts'!$F$13&lt;&gt;"",'Your debts'!$F$12&lt;&gt;"",'Your debts'!$F$13&lt;'Your debts'!$F$12),AQ241,0)+IF(AND('Your debts'!$F$14&lt;&gt;"",'Your debts'!$F$12&lt;&gt;"",'Your debts'!$F$14&lt;'Your debts'!$F$12),AV241,0)+IF(AND('Your debts'!$F$15&lt;&gt;"",'Your debts'!$F$12&lt;&gt;"",'Your debts'!$F$15&lt;'Your debts'!$F$12),BA241,0)))))</f>
        <v/>
      </c>
      <c r="AN241" s="33">
        <f>AL241-AM241</f>
        <v/>
      </c>
      <c r="AO241" s="33">
        <f>IF(AS240&lt;=0,0,ROUND(AS240*(1+'Your debts'!$D$13/1200),2))</f>
        <v/>
      </c>
      <c r="AP241" s="33">
        <f>IF(AO241&lt;=0,0,MIN('Your debts'!$E$13,AO241))</f>
        <v/>
      </c>
      <c r="AQ241" s="33">
        <f>AO241-AP241</f>
        <v/>
      </c>
      <c r="AR241" s="33">
        <f>IF('Your debts'!$F$13="",0,MIN(AQ241,MAX(0,MAX(0,'Your debts'!$C$19-(G241+L241+Q241+V241+AA241+AF241+AK241+AP241+AU241+AZ241))-(IF(AND('Your debts'!$F$6&lt;&gt;"",'Your debts'!$F$13&lt;&gt;"",'Your debts'!$F$6&lt;'Your debts'!$F$13),H241,0)+IF(AND('Your debts'!$F$7&lt;&gt;"",'Your debts'!$F$13&lt;&gt;"",'Your debts'!$F$7&lt;'Your debts'!$F$13),M241,0)+IF(AND('Your debts'!$F$8&lt;&gt;"",'Your debts'!$F$13&lt;&gt;"",'Your debts'!$F$8&lt;'Your debts'!$F$13),R241,0)+IF(AND('Your debts'!$F$9&lt;&gt;"",'Your debts'!$F$13&lt;&gt;"",'Your debts'!$F$9&lt;'Your debts'!$F$13),W241,0)+IF(AND('Your debts'!$F$10&lt;&gt;"",'Your debts'!$F$13&lt;&gt;"",'Your debts'!$F$10&lt;'Your debts'!$F$13),AB241,0)+IF(AND('Your debts'!$F$11&lt;&gt;"",'Your debts'!$F$13&lt;&gt;"",'Your debts'!$F$11&lt;'Your debts'!$F$13),AG241,0)+IF(AND('Your debts'!$F$12&lt;&gt;"",'Your debts'!$F$13&lt;&gt;"",'Your debts'!$F$12&lt;'Your debts'!$F$13),AL241,0)+IF(AND('Your debts'!$F$14&lt;&gt;"",'Your debts'!$F$13&lt;&gt;"",'Your debts'!$F$14&lt;'Your debts'!$F$13),AV241,0)+IF(AND('Your debts'!$F$15&lt;&gt;"",'Your debts'!$F$13&lt;&gt;"",'Your debts'!$F$15&lt;'Your debts'!$F$13),BA241,0)))))</f>
        <v/>
      </c>
      <c r="AS241" s="33">
        <f>AQ241-AR241</f>
        <v/>
      </c>
      <c r="AT241" s="33">
        <f>IF(AX240&lt;=0,0,ROUND(AX240*(1+'Your debts'!$D$14/1200),2))</f>
        <v/>
      </c>
      <c r="AU241" s="33">
        <f>IF(AT241&lt;=0,0,MIN('Your debts'!$E$14,AT241))</f>
        <v/>
      </c>
      <c r="AV241" s="33">
        <f>AT241-AU241</f>
        <v/>
      </c>
      <c r="AW241" s="33">
        <f>IF('Your debts'!$F$14="",0,MIN(AV241,MAX(0,MAX(0,'Your debts'!$C$19-(G241+L241+Q241+V241+AA241+AF241+AK241+AP241+AU241+AZ241))-(IF(AND('Your debts'!$F$6&lt;&gt;"",'Your debts'!$F$14&lt;&gt;"",'Your debts'!$F$6&lt;'Your debts'!$F$14),H241,0)+IF(AND('Your debts'!$F$7&lt;&gt;"",'Your debts'!$F$14&lt;&gt;"",'Your debts'!$F$7&lt;'Your debts'!$F$14),M241,0)+IF(AND('Your debts'!$F$8&lt;&gt;"",'Your debts'!$F$14&lt;&gt;"",'Your debts'!$F$8&lt;'Your debts'!$F$14),R241,0)+IF(AND('Your debts'!$F$9&lt;&gt;"",'Your debts'!$F$14&lt;&gt;"",'Your debts'!$F$9&lt;'Your debts'!$F$14),W241,0)+IF(AND('Your debts'!$F$10&lt;&gt;"",'Your debts'!$F$14&lt;&gt;"",'Your debts'!$F$10&lt;'Your debts'!$F$14),AB241,0)+IF(AND('Your debts'!$F$11&lt;&gt;"",'Your debts'!$F$14&lt;&gt;"",'Your debts'!$F$11&lt;'Your debts'!$F$14),AG241,0)+IF(AND('Your debts'!$F$12&lt;&gt;"",'Your debts'!$F$14&lt;&gt;"",'Your debts'!$F$12&lt;'Your debts'!$F$14),AL241,0)+IF(AND('Your debts'!$F$13&lt;&gt;"",'Your debts'!$F$14&lt;&gt;"",'Your debts'!$F$13&lt;'Your debts'!$F$14),AQ241,0)+IF(AND('Your debts'!$F$15&lt;&gt;"",'Your debts'!$F$14&lt;&gt;"",'Your debts'!$F$15&lt;'Your debts'!$F$14),BA241,0)))))</f>
        <v/>
      </c>
      <c r="AX241" s="33">
        <f>AV241-AW241</f>
        <v/>
      </c>
      <c r="AY241" s="33">
        <f>IF(BC240&lt;=0,0,ROUND(BC240*(1+'Your debts'!$D$15/1200),2))</f>
        <v/>
      </c>
      <c r="AZ241" s="33">
        <f>IF(AY241&lt;=0,0,MIN('Your debts'!$E$15,AY241))</f>
        <v/>
      </c>
      <c r="BA241" s="33">
        <f>AY241-AZ241</f>
        <v/>
      </c>
      <c r="BB241" s="33">
        <f>IF('Your debts'!$F$15="",0,MIN(BA241,MAX(0,MAX(0,'Your debts'!$C$19-(G241+L241+Q241+V241+AA241+AF241+AK241+AP241+AU241+AZ241))-(IF(AND('Your debts'!$F$6&lt;&gt;"",'Your debts'!$F$15&lt;&gt;"",'Your debts'!$F$6&lt;'Your debts'!$F$15),H241,0)+IF(AND('Your debts'!$F$7&lt;&gt;"",'Your debts'!$F$15&lt;&gt;"",'Your debts'!$F$7&lt;'Your debts'!$F$15),M241,0)+IF(AND('Your debts'!$F$8&lt;&gt;"",'Your debts'!$F$15&lt;&gt;"",'Your debts'!$F$8&lt;'Your debts'!$F$15),R241,0)+IF(AND('Your debts'!$F$9&lt;&gt;"",'Your debts'!$F$15&lt;&gt;"",'Your debts'!$F$9&lt;'Your debts'!$F$15),W241,0)+IF(AND('Your debts'!$F$10&lt;&gt;"",'Your debts'!$F$15&lt;&gt;"",'Your debts'!$F$10&lt;'Your debts'!$F$15),AB241,0)+IF(AND('Your debts'!$F$11&lt;&gt;"",'Your debts'!$F$15&lt;&gt;"",'Your debts'!$F$11&lt;'Your debts'!$F$15),AG241,0)+IF(AND('Your debts'!$F$12&lt;&gt;"",'Your debts'!$F$15&lt;&gt;"",'Your debts'!$F$12&lt;'Your debts'!$F$15),AL241,0)+IF(AND('Your debts'!$F$13&lt;&gt;"",'Your debts'!$F$15&lt;&gt;"",'Your debts'!$F$13&lt;'Your debts'!$F$15),AQ241,0)+IF(AND('Your debts'!$F$14&lt;&gt;"",'Your debts'!$F$15&lt;&gt;"",'Your debts'!$F$14&lt;'Your debts'!$F$15),AV241,0)))))</f>
        <v/>
      </c>
      <c r="BC241" s="33">
        <f>BA241-BB241</f>
        <v/>
      </c>
    </row>
    <row r="242">
      <c r="A242" s="30" t="n">
        <v>227</v>
      </c>
      <c r="B242" s="31">
        <f>EDATE($B$15,227)</f>
        <v/>
      </c>
      <c r="C242" s="32">
        <f>IF(J241&lt;=0,0,F242-J241)+IF(O241&lt;=0,0,K242-O241)+IF(T241&lt;=0,0,P242-T241)+IF(Y241&lt;=0,0,U242-Y241)+IF(AD241&lt;=0,0,Z242-AD241)+IF(AI241&lt;=0,0,AE242-AI241)+IF(AN241&lt;=0,0,AJ242-AN241)+IF(AS241&lt;=0,0,AO242-AS241)+IF(AX241&lt;=0,0,AT242-AX241)+IF(BC241&lt;=0,0,AY242-BC241)</f>
        <v/>
      </c>
      <c r="D242" s="32">
        <f>G242+I242+L242+N242+Q242+S242+V242+X242+AA242+AC242+AF242+AH242+AK242+AM242+AP242+AR242+AU242+AW242+AZ242+BB242</f>
        <v/>
      </c>
      <c r="E242" s="32">
        <f>J242+O242+T242+Y242+AD242+AI242+AN242+AS242+AX242+BC242</f>
        <v/>
      </c>
      <c r="F242" s="33">
        <f>IF(J241&lt;=0,0,ROUND(J241*(1+'Your debts'!$D$6/1200),2))</f>
        <v/>
      </c>
      <c r="G242" s="33">
        <f>IF(F242&lt;=0,0,MIN('Your debts'!$E$6,F242))</f>
        <v/>
      </c>
      <c r="H242" s="33">
        <f>F242-G242</f>
        <v/>
      </c>
      <c r="I242" s="33">
        <f>IF('Your debts'!$F$6="",0,MIN(H242,MAX(0,MAX(0,'Your debts'!$C$19-(G242+L242+Q242+V242+AA242+AF242+AK242+AP242+AU242+AZ242))-(IF(AND('Your debts'!$F$7&lt;&gt;"",'Your debts'!$F$6&lt;&gt;"",'Your debts'!$F$7&lt;'Your debts'!$F$6),M242,0)+IF(AND('Your debts'!$F$8&lt;&gt;"",'Your debts'!$F$6&lt;&gt;"",'Your debts'!$F$8&lt;'Your debts'!$F$6),R242,0)+IF(AND('Your debts'!$F$9&lt;&gt;"",'Your debts'!$F$6&lt;&gt;"",'Your debts'!$F$9&lt;'Your debts'!$F$6),W242,0)+IF(AND('Your debts'!$F$10&lt;&gt;"",'Your debts'!$F$6&lt;&gt;"",'Your debts'!$F$10&lt;'Your debts'!$F$6),AB242,0)+IF(AND('Your debts'!$F$11&lt;&gt;"",'Your debts'!$F$6&lt;&gt;"",'Your debts'!$F$11&lt;'Your debts'!$F$6),AG242,0)+IF(AND('Your debts'!$F$12&lt;&gt;"",'Your debts'!$F$6&lt;&gt;"",'Your debts'!$F$12&lt;'Your debts'!$F$6),AL242,0)+IF(AND('Your debts'!$F$13&lt;&gt;"",'Your debts'!$F$6&lt;&gt;"",'Your debts'!$F$13&lt;'Your debts'!$F$6),AQ242,0)+IF(AND('Your debts'!$F$14&lt;&gt;"",'Your debts'!$F$6&lt;&gt;"",'Your debts'!$F$14&lt;'Your debts'!$F$6),AV242,0)+IF(AND('Your debts'!$F$15&lt;&gt;"",'Your debts'!$F$6&lt;&gt;"",'Your debts'!$F$15&lt;'Your debts'!$F$6),BA242,0)))))</f>
        <v/>
      </c>
      <c r="J242" s="33">
        <f>H242-I242</f>
        <v/>
      </c>
      <c r="K242" s="33">
        <f>IF(O241&lt;=0,0,ROUND(O241*(1+'Your debts'!$D$7/1200),2))</f>
        <v/>
      </c>
      <c r="L242" s="33">
        <f>IF(K242&lt;=0,0,MIN('Your debts'!$E$7,K242))</f>
        <v/>
      </c>
      <c r="M242" s="33">
        <f>K242-L242</f>
        <v/>
      </c>
      <c r="N242" s="33">
        <f>IF('Your debts'!$F$7="",0,MIN(M242,MAX(0,MAX(0,'Your debts'!$C$19-(G242+L242+Q242+V242+AA242+AF242+AK242+AP242+AU242+AZ242))-(IF(AND('Your debts'!$F$6&lt;&gt;"",'Your debts'!$F$7&lt;&gt;"",'Your debts'!$F$6&lt;'Your debts'!$F$7),H242,0)+IF(AND('Your debts'!$F$8&lt;&gt;"",'Your debts'!$F$7&lt;&gt;"",'Your debts'!$F$8&lt;'Your debts'!$F$7),R242,0)+IF(AND('Your debts'!$F$9&lt;&gt;"",'Your debts'!$F$7&lt;&gt;"",'Your debts'!$F$9&lt;'Your debts'!$F$7),W242,0)+IF(AND('Your debts'!$F$10&lt;&gt;"",'Your debts'!$F$7&lt;&gt;"",'Your debts'!$F$10&lt;'Your debts'!$F$7),AB242,0)+IF(AND('Your debts'!$F$11&lt;&gt;"",'Your debts'!$F$7&lt;&gt;"",'Your debts'!$F$11&lt;'Your debts'!$F$7),AG242,0)+IF(AND('Your debts'!$F$12&lt;&gt;"",'Your debts'!$F$7&lt;&gt;"",'Your debts'!$F$12&lt;'Your debts'!$F$7),AL242,0)+IF(AND('Your debts'!$F$13&lt;&gt;"",'Your debts'!$F$7&lt;&gt;"",'Your debts'!$F$13&lt;'Your debts'!$F$7),AQ242,0)+IF(AND('Your debts'!$F$14&lt;&gt;"",'Your debts'!$F$7&lt;&gt;"",'Your debts'!$F$14&lt;'Your debts'!$F$7),AV242,0)+IF(AND('Your debts'!$F$15&lt;&gt;"",'Your debts'!$F$7&lt;&gt;"",'Your debts'!$F$15&lt;'Your debts'!$F$7),BA242,0)))))</f>
        <v/>
      </c>
      <c r="O242" s="33">
        <f>M242-N242</f>
        <v/>
      </c>
      <c r="P242" s="33">
        <f>IF(T241&lt;=0,0,ROUND(T241*(1+'Your debts'!$D$8/1200),2))</f>
        <v/>
      </c>
      <c r="Q242" s="33">
        <f>IF(P242&lt;=0,0,MIN('Your debts'!$E$8,P242))</f>
        <v/>
      </c>
      <c r="R242" s="33">
        <f>P242-Q242</f>
        <v/>
      </c>
      <c r="S242" s="33">
        <f>IF('Your debts'!$F$8="",0,MIN(R242,MAX(0,MAX(0,'Your debts'!$C$19-(G242+L242+Q242+V242+AA242+AF242+AK242+AP242+AU242+AZ242))-(IF(AND('Your debts'!$F$6&lt;&gt;"",'Your debts'!$F$8&lt;&gt;"",'Your debts'!$F$6&lt;'Your debts'!$F$8),H242,0)+IF(AND('Your debts'!$F$7&lt;&gt;"",'Your debts'!$F$8&lt;&gt;"",'Your debts'!$F$7&lt;'Your debts'!$F$8),M242,0)+IF(AND('Your debts'!$F$9&lt;&gt;"",'Your debts'!$F$8&lt;&gt;"",'Your debts'!$F$9&lt;'Your debts'!$F$8),W242,0)+IF(AND('Your debts'!$F$10&lt;&gt;"",'Your debts'!$F$8&lt;&gt;"",'Your debts'!$F$10&lt;'Your debts'!$F$8),AB242,0)+IF(AND('Your debts'!$F$11&lt;&gt;"",'Your debts'!$F$8&lt;&gt;"",'Your debts'!$F$11&lt;'Your debts'!$F$8),AG242,0)+IF(AND('Your debts'!$F$12&lt;&gt;"",'Your debts'!$F$8&lt;&gt;"",'Your debts'!$F$12&lt;'Your debts'!$F$8),AL242,0)+IF(AND('Your debts'!$F$13&lt;&gt;"",'Your debts'!$F$8&lt;&gt;"",'Your debts'!$F$13&lt;'Your debts'!$F$8),AQ242,0)+IF(AND('Your debts'!$F$14&lt;&gt;"",'Your debts'!$F$8&lt;&gt;"",'Your debts'!$F$14&lt;'Your debts'!$F$8),AV242,0)+IF(AND('Your debts'!$F$15&lt;&gt;"",'Your debts'!$F$8&lt;&gt;"",'Your debts'!$F$15&lt;'Your debts'!$F$8),BA242,0)))))</f>
        <v/>
      </c>
      <c r="T242" s="33">
        <f>R242-S242</f>
        <v/>
      </c>
      <c r="U242" s="33">
        <f>IF(Y241&lt;=0,0,ROUND(Y241*(1+'Your debts'!$D$9/1200),2))</f>
        <v/>
      </c>
      <c r="V242" s="33">
        <f>IF(U242&lt;=0,0,MIN('Your debts'!$E$9,U242))</f>
        <v/>
      </c>
      <c r="W242" s="33">
        <f>U242-V242</f>
        <v/>
      </c>
      <c r="X242" s="33">
        <f>IF('Your debts'!$F$9="",0,MIN(W242,MAX(0,MAX(0,'Your debts'!$C$19-(G242+L242+Q242+V242+AA242+AF242+AK242+AP242+AU242+AZ242))-(IF(AND('Your debts'!$F$6&lt;&gt;"",'Your debts'!$F$9&lt;&gt;"",'Your debts'!$F$6&lt;'Your debts'!$F$9),H242,0)+IF(AND('Your debts'!$F$7&lt;&gt;"",'Your debts'!$F$9&lt;&gt;"",'Your debts'!$F$7&lt;'Your debts'!$F$9),M242,0)+IF(AND('Your debts'!$F$8&lt;&gt;"",'Your debts'!$F$9&lt;&gt;"",'Your debts'!$F$8&lt;'Your debts'!$F$9),R242,0)+IF(AND('Your debts'!$F$10&lt;&gt;"",'Your debts'!$F$9&lt;&gt;"",'Your debts'!$F$10&lt;'Your debts'!$F$9),AB242,0)+IF(AND('Your debts'!$F$11&lt;&gt;"",'Your debts'!$F$9&lt;&gt;"",'Your debts'!$F$11&lt;'Your debts'!$F$9),AG242,0)+IF(AND('Your debts'!$F$12&lt;&gt;"",'Your debts'!$F$9&lt;&gt;"",'Your debts'!$F$12&lt;'Your debts'!$F$9),AL242,0)+IF(AND('Your debts'!$F$13&lt;&gt;"",'Your debts'!$F$9&lt;&gt;"",'Your debts'!$F$13&lt;'Your debts'!$F$9),AQ242,0)+IF(AND('Your debts'!$F$14&lt;&gt;"",'Your debts'!$F$9&lt;&gt;"",'Your debts'!$F$14&lt;'Your debts'!$F$9),AV242,0)+IF(AND('Your debts'!$F$15&lt;&gt;"",'Your debts'!$F$9&lt;&gt;"",'Your debts'!$F$15&lt;'Your debts'!$F$9),BA242,0)))))</f>
        <v/>
      </c>
      <c r="Y242" s="33">
        <f>W242-X242</f>
        <v/>
      </c>
      <c r="Z242" s="33">
        <f>IF(AD241&lt;=0,0,ROUND(AD241*(1+'Your debts'!$D$10/1200),2))</f>
        <v/>
      </c>
      <c r="AA242" s="33">
        <f>IF(Z242&lt;=0,0,MIN('Your debts'!$E$10,Z242))</f>
        <v/>
      </c>
      <c r="AB242" s="33">
        <f>Z242-AA242</f>
        <v/>
      </c>
      <c r="AC242" s="33">
        <f>IF('Your debts'!$F$10="",0,MIN(AB242,MAX(0,MAX(0,'Your debts'!$C$19-(G242+L242+Q242+V242+AA242+AF242+AK242+AP242+AU242+AZ242))-(IF(AND('Your debts'!$F$6&lt;&gt;"",'Your debts'!$F$10&lt;&gt;"",'Your debts'!$F$6&lt;'Your debts'!$F$10),H242,0)+IF(AND('Your debts'!$F$7&lt;&gt;"",'Your debts'!$F$10&lt;&gt;"",'Your debts'!$F$7&lt;'Your debts'!$F$10),M242,0)+IF(AND('Your debts'!$F$8&lt;&gt;"",'Your debts'!$F$10&lt;&gt;"",'Your debts'!$F$8&lt;'Your debts'!$F$10),R242,0)+IF(AND('Your debts'!$F$9&lt;&gt;"",'Your debts'!$F$10&lt;&gt;"",'Your debts'!$F$9&lt;'Your debts'!$F$10),W242,0)+IF(AND('Your debts'!$F$11&lt;&gt;"",'Your debts'!$F$10&lt;&gt;"",'Your debts'!$F$11&lt;'Your debts'!$F$10),AG242,0)+IF(AND('Your debts'!$F$12&lt;&gt;"",'Your debts'!$F$10&lt;&gt;"",'Your debts'!$F$12&lt;'Your debts'!$F$10),AL242,0)+IF(AND('Your debts'!$F$13&lt;&gt;"",'Your debts'!$F$10&lt;&gt;"",'Your debts'!$F$13&lt;'Your debts'!$F$10),AQ242,0)+IF(AND('Your debts'!$F$14&lt;&gt;"",'Your debts'!$F$10&lt;&gt;"",'Your debts'!$F$14&lt;'Your debts'!$F$10),AV242,0)+IF(AND('Your debts'!$F$15&lt;&gt;"",'Your debts'!$F$10&lt;&gt;"",'Your debts'!$F$15&lt;'Your debts'!$F$10),BA242,0)))))</f>
        <v/>
      </c>
      <c r="AD242" s="33">
        <f>AB242-AC242</f>
        <v/>
      </c>
      <c r="AE242" s="33">
        <f>IF(AI241&lt;=0,0,ROUND(AI241*(1+'Your debts'!$D$11/1200),2))</f>
        <v/>
      </c>
      <c r="AF242" s="33">
        <f>IF(AE242&lt;=0,0,MIN('Your debts'!$E$11,AE242))</f>
        <v/>
      </c>
      <c r="AG242" s="33">
        <f>AE242-AF242</f>
        <v/>
      </c>
      <c r="AH242" s="33">
        <f>IF('Your debts'!$F$11="",0,MIN(AG242,MAX(0,MAX(0,'Your debts'!$C$19-(G242+L242+Q242+V242+AA242+AF242+AK242+AP242+AU242+AZ242))-(IF(AND('Your debts'!$F$6&lt;&gt;"",'Your debts'!$F$11&lt;&gt;"",'Your debts'!$F$6&lt;'Your debts'!$F$11),H242,0)+IF(AND('Your debts'!$F$7&lt;&gt;"",'Your debts'!$F$11&lt;&gt;"",'Your debts'!$F$7&lt;'Your debts'!$F$11),M242,0)+IF(AND('Your debts'!$F$8&lt;&gt;"",'Your debts'!$F$11&lt;&gt;"",'Your debts'!$F$8&lt;'Your debts'!$F$11),R242,0)+IF(AND('Your debts'!$F$9&lt;&gt;"",'Your debts'!$F$11&lt;&gt;"",'Your debts'!$F$9&lt;'Your debts'!$F$11),W242,0)+IF(AND('Your debts'!$F$10&lt;&gt;"",'Your debts'!$F$11&lt;&gt;"",'Your debts'!$F$10&lt;'Your debts'!$F$11),AB242,0)+IF(AND('Your debts'!$F$12&lt;&gt;"",'Your debts'!$F$11&lt;&gt;"",'Your debts'!$F$12&lt;'Your debts'!$F$11),AL242,0)+IF(AND('Your debts'!$F$13&lt;&gt;"",'Your debts'!$F$11&lt;&gt;"",'Your debts'!$F$13&lt;'Your debts'!$F$11),AQ242,0)+IF(AND('Your debts'!$F$14&lt;&gt;"",'Your debts'!$F$11&lt;&gt;"",'Your debts'!$F$14&lt;'Your debts'!$F$11),AV242,0)+IF(AND('Your debts'!$F$15&lt;&gt;"",'Your debts'!$F$11&lt;&gt;"",'Your debts'!$F$15&lt;'Your debts'!$F$11),BA242,0)))))</f>
        <v/>
      </c>
      <c r="AI242" s="33">
        <f>AG242-AH242</f>
        <v/>
      </c>
      <c r="AJ242" s="33">
        <f>IF(AN241&lt;=0,0,ROUND(AN241*(1+'Your debts'!$D$12/1200),2))</f>
        <v/>
      </c>
      <c r="AK242" s="33">
        <f>IF(AJ242&lt;=0,0,MIN('Your debts'!$E$12,AJ242))</f>
        <v/>
      </c>
      <c r="AL242" s="33">
        <f>AJ242-AK242</f>
        <v/>
      </c>
      <c r="AM242" s="33">
        <f>IF('Your debts'!$F$12="",0,MIN(AL242,MAX(0,MAX(0,'Your debts'!$C$19-(G242+L242+Q242+V242+AA242+AF242+AK242+AP242+AU242+AZ242))-(IF(AND('Your debts'!$F$6&lt;&gt;"",'Your debts'!$F$12&lt;&gt;"",'Your debts'!$F$6&lt;'Your debts'!$F$12),H242,0)+IF(AND('Your debts'!$F$7&lt;&gt;"",'Your debts'!$F$12&lt;&gt;"",'Your debts'!$F$7&lt;'Your debts'!$F$12),M242,0)+IF(AND('Your debts'!$F$8&lt;&gt;"",'Your debts'!$F$12&lt;&gt;"",'Your debts'!$F$8&lt;'Your debts'!$F$12),R242,0)+IF(AND('Your debts'!$F$9&lt;&gt;"",'Your debts'!$F$12&lt;&gt;"",'Your debts'!$F$9&lt;'Your debts'!$F$12),W242,0)+IF(AND('Your debts'!$F$10&lt;&gt;"",'Your debts'!$F$12&lt;&gt;"",'Your debts'!$F$10&lt;'Your debts'!$F$12),AB242,0)+IF(AND('Your debts'!$F$11&lt;&gt;"",'Your debts'!$F$12&lt;&gt;"",'Your debts'!$F$11&lt;'Your debts'!$F$12),AG242,0)+IF(AND('Your debts'!$F$13&lt;&gt;"",'Your debts'!$F$12&lt;&gt;"",'Your debts'!$F$13&lt;'Your debts'!$F$12),AQ242,0)+IF(AND('Your debts'!$F$14&lt;&gt;"",'Your debts'!$F$12&lt;&gt;"",'Your debts'!$F$14&lt;'Your debts'!$F$12),AV242,0)+IF(AND('Your debts'!$F$15&lt;&gt;"",'Your debts'!$F$12&lt;&gt;"",'Your debts'!$F$15&lt;'Your debts'!$F$12),BA242,0)))))</f>
        <v/>
      </c>
      <c r="AN242" s="33">
        <f>AL242-AM242</f>
        <v/>
      </c>
      <c r="AO242" s="33">
        <f>IF(AS241&lt;=0,0,ROUND(AS241*(1+'Your debts'!$D$13/1200),2))</f>
        <v/>
      </c>
      <c r="AP242" s="33">
        <f>IF(AO242&lt;=0,0,MIN('Your debts'!$E$13,AO242))</f>
        <v/>
      </c>
      <c r="AQ242" s="33">
        <f>AO242-AP242</f>
        <v/>
      </c>
      <c r="AR242" s="33">
        <f>IF('Your debts'!$F$13="",0,MIN(AQ242,MAX(0,MAX(0,'Your debts'!$C$19-(G242+L242+Q242+V242+AA242+AF242+AK242+AP242+AU242+AZ242))-(IF(AND('Your debts'!$F$6&lt;&gt;"",'Your debts'!$F$13&lt;&gt;"",'Your debts'!$F$6&lt;'Your debts'!$F$13),H242,0)+IF(AND('Your debts'!$F$7&lt;&gt;"",'Your debts'!$F$13&lt;&gt;"",'Your debts'!$F$7&lt;'Your debts'!$F$13),M242,0)+IF(AND('Your debts'!$F$8&lt;&gt;"",'Your debts'!$F$13&lt;&gt;"",'Your debts'!$F$8&lt;'Your debts'!$F$13),R242,0)+IF(AND('Your debts'!$F$9&lt;&gt;"",'Your debts'!$F$13&lt;&gt;"",'Your debts'!$F$9&lt;'Your debts'!$F$13),W242,0)+IF(AND('Your debts'!$F$10&lt;&gt;"",'Your debts'!$F$13&lt;&gt;"",'Your debts'!$F$10&lt;'Your debts'!$F$13),AB242,0)+IF(AND('Your debts'!$F$11&lt;&gt;"",'Your debts'!$F$13&lt;&gt;"",'Your debts'!$F$11&lt;'Your debts'!$F$13),AG242,0)+IF(AND('Your debts'!$F$12&lt;&gt;"",'Your debts'!$F$13&lt;&gt;"",'Your debts'!$F$12&lt;'Your debts'!$F$13),AL242,0)+IF(AND('Your debts'!$F$14&lt;&gt;"",'Your debts'!$F$13&lt;&gt;"",'Your debts'!$F$14&lt;'Your debts'!$F$13),AV242,0)+IF(AND('Your debts'!$F$15&lt;&gt;"",'Your debts'!$F$13&lt;&gt;"",'Your debts'!$F$15&lt;'Your debts'!$F$13),BA242,0)))))</f>
        <v/>
      </c>
      <c r="AS242" s="33">
        <f>AQ242-AR242</f>
        <v/>
      </c>
      <c r="AT242" s="33">
        <f>IF(AX241&lt;=0,0,ROUND(AX241*(1+'Your debts'!$D$14/1200),2))</f>
        <v/>
      </c>
      <c r="AU242" s="33">
        <f>IF(AT242&lt;=0,0,MIN('Your debts'!$E$14,AT242))</f>
        <v/>
      </c>
      <c r="AV242" s="33">
        <f>AT242-AU242</f>
        <v/>
      </c>
      <c r="AW242" s="33">
        <f>IF('Your debts'!$F$14="",0,MIN(AV242,MAX(0,MAX(0,'Your debts'!$C$19-(G242+L242+Q242+V242+AA242+AF242+AK242+AP242+AU242+AZ242))-(IF(AND('Your debts'!$F$6&lt;&gt;"",'Your debts'!$F$14&lt;&gt;"",'Your debts'!$F$6&lt;'Your debts'!$F$14),H242,0)+IF(AND('Your debts'!$F$7&lt;&gt;"",'Your debts'!$F$14&lt;&gt;"",'Your debts'!$F$7&lt;'Your debts'!$F$14),M242,0)+IF(AND('Your debts'!$F$8&lt;&gt;"",'Your debts'!$F$14&lt;&gt;"",'Your debts'!$F$8&lt;'Your debts'!$F$14),R242,0)+IF(AND('Your debts'!$F$9&lt;&gt;"",'Your debts'!$F$14&lt;&gt;"",'Your debts'!$F$9&lt;'Your debts'!$F$14),W242,0)+IF(AND('Your debts'!$F$10&lt;&gt;"",'Your debts'!$F$14&lt;&gt;"",'Your debts'!$F$10&lt;'Your debts'!$F$14),AB242,0)+IF(AND('Your debts'!$F$11&lt;&gt;"",'Your debts'!$F$14&lt;&gt;"",'Your debts'!$F$11&lt;'Your debts'!$F$14),AG242,0)+IF(AND('Your debts'!$F$12&lt;&gt;"",'Your debts'!$F$14&lt;&gt;"",'Your debts'!$F$12&lt;'Your debts'!$F$14),AL242,0)+IF(AND('Your debts'!$F$13&lt;&gt;"",'Your debts'!$F$14&lt;&gt;"",'Your debts'!$F$13&lt;'Your debts'!$F$14),AQ242,0)+IF(AND('Your debts'!$F$15&lt;&gt;"",'Your debts'!$F$14&lt;&gt;"",'Your debts'!$F$15&lt;'Your debts'!$F$14),BA242,0)))))</f>
        <v/>
      </c>
      <c r="AX242" s="33">
        <f>AV242-AW242</f>
        <v/>
      </c>
      <c r="AY242" s="33">
        <f>IF(BC241&lt;=0,0,ROUND(BC241*(1+'Your debts'!$D$15/1200),2))</f>
        <v/>
      </c>
      <c r="AZ242" s="33">
        <f>IF(AY242&lt;=0,0,MIN('Your debts'!$E$15,AY242))</f>
        <v/>
      </c>
      <c r="BA242" s="33">
        <f>AY242-AZ242</f>
        <v/>
      </c>
      <c r="BB242" s="33">
        <f>IF('Your debts'!$F$15="",0,MIN(BA242,MAX(0,MAX(0,'Your debts'!$C$19-(G242+L242+Q242+V242+AA242+AF242+AK242+AP242+AU242+AZ242))-(IF(AND('Your debts'!$F$6&lt;&gt;"",'Your debts'!$F$15&lt;&gt;"",'Your debts'!$F$6&lt;'Your debts'!$F$15),H242,0)+IF(AND('Your debts'!$F$7&lt;&gt;"",'Your debts'!$F$15&lt;&gt;"",'Your debts'!$F$7&lt;'Your debts'!$F$15),M242,0)+IF(AND('Your debts'!$F$8&lt;&gt;"",'Your debts'!$F$15&lt;&gt;"",'Your debts'!$F$8&lt;'Your debts'!$F$15),R242,0)+IF(AND('Your debts'!$F$9&lt;&gt;"",'Your debts'!$F$15&lt;&gt;"",'Your debts'!$F$9&lt;'Your debts'!$F$15),W242,0)+IF(AND('Your debts'!$F$10&lt;&gt;"",'Your debts'!$F$15&lt;&gt;"",'Your debts'!$F$10&lt;'Your debts'!$F$15),AB242,0)+IF(AND('Your debts'!$F$11&lt;&gt;"",'Your debts'!$F$15&lt;&gt;"",'Your debts'!$F$11&lt;'Your debts'!$F$15),AG242,0)+IF(AND('Your debts'!$F$12&lt;&gt;"",'Your debts'!$F$15&lt;&gt;"",'Your debts'!$F$12&lt;'Your debts'!$F$15),AL242,0)+IF(AND('Your debts'!$F$13&lt;&gt;"",'Your debts'!$F$15&lt;&gt;"",'Your debts'!$F$13&lt;'Your debts'!$F$15),AQ242,0)+IF(AND('Your debts'!$F$14&lt;&gt;"",'Your debts'!$F$15&lt;&gt;"",'Your debts'!$F$14&lt;'Your debts'!$F$15),AV242,0)))))</f>
        <v/>
      </c>
      <c r="BC242" s="33">
        <f>BA242-BB242</f>
        <v/>
      </c>
    </row>
    <row r="243">
      <c r="A243" s="30" t="n">
        <v>228</v>
      </c>
      <c r="B243" s="31">
        <f>EDATE($B$15,228)</f>
        <v/>
      </c>
      <c r="C243" s="32">
        <f>IF(J242&lt;=0,0,F243-J242)+IF(O242&lt;=0,0,K243-O242)+IF(T242&lt;=0,0,P243-T242)+IF(Y242&lt;=0,0,U243-Y242)+IF(AD242&lt;=0,0,Z243-AD242)+IF(AI242&lt;=0,0,AE243-AI242)+IF(AN242&lt;=0,0,AJ243-AN242)+IF(AS242&lt;=0,0,AO243-AS242)+IF(AX242&lt;=0,0,AT243-AX242)+IF(BC242&lt;=0,0,AY243-BC242)</f>
        <v/>
      </c>
      <c r="D243" s="32">
        <f>G243+I243+L243+N243+Q243+S243+V243+X243+AA243+AC243+AF243+AH243+AK243+AM243+AP243+AR243+AU243+AW243+AZ243+BB243</f>
        <v/>
      </c>
      <c r="E243" s="32">
        <f>J243+O243+T243+Y243+AD243+AI243+AN243+AS243+AX243+BC243</f>
        <v/>
      </c>
      <c r="F243" s="33">
        <f>IF(J242&lt;=0,0,ROUND(J242*(1+'Your debts'!$D$6/1200),2))</f>
        <v/>
      </c>
      <c r="G243" s="33">
        <f>IF(F243&lt;=0,0,MIN('Your debts'!$E$6,F243))</f>
        <v/>
      </c>
      <c r="H243" s="33">
        <f>F243-G243</f>
        <v/>
      </c>
      <c r="I243" s="33">
        <f>IF('Your debts'!$F$6="",0,MIN(H243,MAX(0,MAX(0,'Your debts'!$C$19-(G243+L243+Q243+V243+AA243+AF243+AK243+AP243+AU243+AZ243))-(IF(AND('Your debts'!$F$7&lt;&gt;"",'Your debts'!$F$6&lt;&gt;"",'Your debts'!$F$7&lt;'Your debts'!$F$6),M243,0)+IF(AND('Your debts'!$F$8&lt;&gt;"",'Your debts'!$F$6&lt;&gt;"",'Your debts'!$F$8&lt;'Your debts'!$F$6),R243,0)+IF(AND('Your debts'!$F$9&lt;&gt;"",'Your debts'!$F$6&lt;&gt;"",'Your debts'!$F$9&lt;'Your debts'!$F$6),W243,0)+IF(AND('Your debts'!$F$10&lt;&gt;"",'Your debts'!$F$6&lt;&gt;"",'Your debts'!$F$10&lt;'Your debts'!$F$6),AB243,0)+IF(AND('Your debts'!$F$11&lt;&gt;"",'Your debts'!$F$6&lt;&gt;"",'Your debts'!$F$11&lt;'Your debts'!$F$6),AG243,0)+IF(AND('Your debts'!$F$12&lt;&gt;"",'Your debts'!$F$6&lt;&gt;"",'Your debts'!$F$12&lt;'Your debts'!$F$6),AL243,0)+IF(AND('Your debts'!$F$13&lt;&gt;"",'Your debts'!$F$6&lt;&gt;"",'Your debts'!$F$13&lt;'Your debts'!$F$6),AQ243,0)+IF(AND('Your debts'!$F$14&lt;&gt;"",'Your debts'!$F$6&lt;&gt;"",'Your debts'!$F$14&lt;'Your debts'!$F$6),AV243,0)+IF(AND('Your debts'!$F$15&lt;&gt;"",'Your debts'!$F$6&lt;&gt;"",'Your debts'!$F$15&lt;'Your debts'!$F$6),BA243,0)))))</f>
        <v/>
      </c>
      <c r="J243" s="33">
        <f>H243-I243</f>
        <v/>
      </c>
      <c r="K243" s="33">
        <f>IF(O242&lt;=0,0,ROUND(O242*(1+'Your debts'!$D$7/1200),2))</f>
        <v/>
      </c>
      <c r="L243" s="33">
        <f>IF(K243&lt;=0,0,MIN('Your debts'!$E$7,K243))</f>
        <v/>
      </c>
      <c r="M243" s="33">
        <f>K243-L243</f>
        <v/>
      </c>
      <c r="N243" s="33">
        <f>IF('Your debts'!$F$7="",0,MIN(M243,MAX(0,MAX(0,'Your debts'!$C$19-(G243+L243+Q243+V243+AA243+AF243+AK243+AP243+AU243+AZ243))-(IF(AND('Your debts'!$F$6&lt;&gt;"",'Your debts'!$F$7&lt;&gt;"",'Your debts'!$F$6&lt;'Your debts'!$F$7),H243,0)+IF(AND('Your debts'!$F$8&lt;&gt;"",'Your debts'!$F$7&lt;&gt;"",'Your debts'!$F$8&lt;'Your debts'!$F$7),R243,0)+IF(AND('Your debts'!$F$9&lt;&gt;"",'Your debts'!$F$7&lt;&gt;"",'Your debts'!$F$9&lt;'Your debts'!$F$7),W243,0)+IF(AND('Your debts'!$F$10&lt;&gt;"",'Your debts'!$F$7&lt;&gt;"",'Your debts'!$F$10&lt;'Your debts'!$F$7),AB243,0)+IF(AND('Your debts'!$F$11&lt;&gt;"",'Your debts'!$F$7&lt;&gt;"",'Your debts'!$F$11&lt;'Your debts'!$F$7),AG243,0)+IF(AND('Your debts'!$F$12&lt;&gt;"",'Your debts'!$F$7&lt;&gt;"",'Your debts'!$F$12&lt;'Your debts'!$F$7),AL243,0)+IF(AND('Your debts'!$F$13&lt;&gt;"",'Your debts'!$F$7&lt;&gt;"",'Your debts'!$F$13&lt;'Your debts'!$F$7),AQ243,0)+IF(AND('Your debts'!$F$14&lt;&gt;"",'Your debts'!$F$7&lt;&gt;"",'Your debts'!$F$14&lt;'Your debts'!$F$7),AV243,0)+IF(AND('Your debts'!$F$15&lt;&gt;"",'Your debts'!$F$7&lt;&gt;"",'Your debts'!$F$15&lt;'Your debts'!$F$7),BA243,0)))))</f>
        <v/>
      </c>
      <c r="O243" s="33">
        <f>M243-N243</f>
        <v/>
      </c>
      <c r="P243" s="33">
        <f>IF(T242&lt;=0,0,ROUND(T242*(1+'Your debts'!$D$8/1200),2))</f>
        <v/>
      </c>
      <c r="Q243" s="33">
        <f>IF(P243&lt;=0,0,MIN('Your debts'!$E$8,P243))</f>
        <v/>
      </c>
      <c r="R243" s="33">
        <f>P243-Q243</f>
        <v/>
      </c>
      <c r="S243" s="33">
        <f>IF('Your debts'!$F$8="",0,MIN(R243,MAX(0,MAX(0,'Your debts'!$C$19-(G243+L243+Q243+V243+AA243+AF243+AK243+AP243+AU243+AZ243))-(IF(AND('Your debts'!$F$6&lt;&gt;"",'Your debts'!$F$8&lt;&gt;"",'Your debts'!$F$6&lt;'Your debts'!$F$8),H243,0)+IF(AND('Your debts'!$F$7&lt;&gt;"",'Your debts'!$F$8&lt;&gt;"",'Your debts'!$F$7&lt;'Your debts'!$F$8),M243,0)+IF(AND('Your debts'!$F$9&lt;&gt;"",'Your debts'!$F$8&lt;&gt;"",'Your debts'!$F$9&lt;'Your debts'!$F$8),W243,0)+IF(AND('Your debts'!$F$10&lt;&gt;"",'Your debts'!$F$8&lt;&gt;"",'Your debts'!$F$10&lt;'Your debts'!$F$8),AB243,0)+IF(AND('Your debts'!$F$11&lt;&gt;"",'Your debts'!$F$8&lt;&gt;"",'Your debts'!$F$11&lt;'Your debts'!$F$8),AG243,0)+IF(AND('Your debts'!$F$12&lt;&gt;"",'Your debts'!$F$8&lt;&gt;"",'Your debts'!$F$12&lt;'Your debts'!$F$8),AL243,0)+IF(AND('Your debts'!$F$13&lt;&gt;"",'Your debts'!$F$8&lt;&gt;"",'Your debts'!$F$13&lt;'Your debts'!$F$8),AQ243,0)+IF(AND('Your debts'!$F$14&lt;&gt;"",'Your debts'!$F$8&lt;&gt;"",'Your debts'!$F$14&lt;'Your debts'!$F$8),AV243,0)+IF(AND('Your debts'!$F$15&lt;&gt;"",'Your debts'!$F$8&lt;&gt;"",'Your debts'!$F$15&lt;'Your debts'!$F$8),BA243,0)))))</f>
        <v/>
      </c>
      <c r="T243" s="33">
        <f>R243-S243</f>
        <v/>
      </c>
      <c r="U243" s="33">
        <f>IF(Y242&lt;=0,0,ROUND(Y242*(1+'Your debts'!$D$9/1200),2))</f>
        <v/>
      </c>
      <c r="V243" s="33">
        <f>IF(U243&lt;=0,0,MIN('Your debts'!$E$9,U243))</f>
        <v/>
      </c>
      <c r="W243" s="33">
        <f>U243-V243</f>
        <v/>
      </c>
      <c r="X243" s="33">
        <f>IF('Your debts'!$F$9="",0,MIN(W243,MAX(0,MAX(0,'Your debts'!$C$19-(G243+L243+Q243+V243+AA243+AF243+AK243+AP243+AU243+AZ243))-(IF(AND('Your debts'!$F$6&lt;&gt;"",'Your debts'!$F$9&lt;&gt;"",'Your debts'!$F$6&lt;'Your debts'!$F$9),H243,0)+IF(AND('Your debts'!$F$7&lt;&gt;"",'Your debts'!$F$9&lt;&gt;"",'Your debts'!$F$7&lt;'Your debts'!$F$9),M243,0)+IF(AND('Your debts'!$F$8&lt;&gt;"",'Your debts'!$F$9&lt;&gt;"",'Your debts'!$F$8&lt;'Your debts'!$F$9),R243,0)+IF(AND('Your debts'!$F$10&lt;&gt;"",'Your debts'!$F$9&lt;&gt;"",'Your debts'!$F$10&lt;'Your debts'!$F$9),AB243,0)+IF(AND('Your debts'!$F$11&lt;&gt;"",'Your debts'!$F$9&lt;&gt;"",'Your debts'!$F$11&lt;'Your debts'!$F$9),AG243,0)+IF(AND('Your debts'!$F$12&lt;&gt;"",'Your debts'!$F$9&lt;&gt;"",'Your debts'!$F$12&lt;'Your debts'!$F$9),AL243,0)+IF(AND('Your debts'!$F$13&lt;&gt;"",'Your debts'!$F$9&lt;&gt;"",'Your debts'!$F$13&lt;'Your debts'!$F$9),AQ243,0)+IF(AND('Your debts'!$F$14&lt;&gt;"",'Your debts'!$F$9&lt;&gt;"",'Your debts'!$F$14&lt;'Your debts'!$F$9),AV243,0)+IF(AND('Your debts'!$F$15&lt;&gt;"",'Your debts'!$F$9&lt;&gt;"",'Your debts'!$F$15&lt;'Your debts'!$F$9),BA243,0)))))</f>
        <v/>
      </c>
      <c r="Y243" s="33">
        <f>W243-X243</f>
        <v/>
      </c>
      <c r="Z243" s="33">
        <f>IF(AD242&lt;=0,0,ROUND(AD242*(1+'Your debts'!$D$10/1200),2))</f>
        <v/>
      </c>
      <c r="AA243" s="33">
        <f>IF(Z243&lt;=0,0,MIN('Your debts'!$E$10,Z243))</f>
        <v/>
      </c>
      <c r="AB243" s="33">
        <f>Z243-AA243</f>
        <v/>
      </c>
      <c r="AC243" s="33">
        <f>IF('Your debts'!$F$10="",0,MIN(AB243,MAX(0,MAX(0,'Your debts'!$C$19-(G243+L243+Q243+V243+AA243+AF243+AK243+AP243+AU243+AZ243))-(IF(AND('Your debts'!$F$6&lt;&gt;"",'Your debts'!$F$10&lt;&gt;"",'Your debts'!$F$6&lt;'Your debts'!$F$10),H243,0)+IF(AND('Your debts'!$F$7&lt;&gt;"",'Your debts'!$F$10&lt;&gt;"",'Your debts'!$F$7&lt;'Your debts'!$F$10),M243,0)+IF(AND('Your debts'!$F$8&lt;&gt;"",'Your debts'!$F$10&lt;&gt;"",'Your debts'!$F$8&lt;'Your debts'!$F$10),R243,0)+IF(AND('Your debts'!$F$9&lt;&gt;"",'Your debts'!$F$10&lt;&gt;"",'Your debts'!$F$9&lt;'Your debts'!$F$10),W243,0)+IF(AND('Your debts'!$F$11&lt;&gt;"",'Your debts'!$F$10&lt;&gt;"",'Your debts'!$F$11&lt;'Your debts'!$F$10),AG243,0)+IF(AND('Your debts'!$F$12&lt;&gt;"",'Your debts'!$F$10&lt;&gt;"",'Your debts'!$F$12&lt;'Your debts'!$F$10),AL243,0)+IF(AND('Your debts'!$F$13&lt;&gt;"",'Your debts'!$F$10&lt;&gt;"",'Your debts'!$F$13&lt;'Your debts'!$F$10),AQ243,0)+IF(AND('Your debts'!$F$14&lt;&gt;"",'Your debts'!$F$10&lt;&gt;"",'Your debts'!$F$14&lt;'Your debts'!$F$10),AV243,0)+IF(AND('Your debts'!$F$15&lt;&gt;"",'Your debts'!$F$10&lt;&gt;"",'Your debts'!$F$15&lt;'Your debts'!$F$10),BA243,0)))))</f>
        <v/>
      </c>
      <c r="AD243" s="33">
        <f>AB243-AC243</f>
        <v/>
      </c>
      <c r="AE243" s="33">
        <f>IF(AI242&lt;=0,0,ROUND(AI242*(1+'Your debts'!$D$11/1200),2))</f>
        <v/>
      </c>
      <c r="AF243" s="33">
        <f>IF(AE243&lt;=0,0,MIN('Your debts'!$E$11,AE243))</f>
        <v/>
      </c>
      <c r="AG243" s="33">
        <f>AE243-AF243</f>
        <v/>
      </c>
      <c r="AH243" s="33">
        <f>IF('Your debts'!$F$11="",0,MIN(AG243,MAX(0,MAX(0,'Your debts'!$C$19-(G243+L243+Q243+V243+AA243+AF243+AK243+AP243+AU243+AZ243))-(IF(AND('Your debts'!$F$6&lt;&gt;"",'Your debts'!$F$11&lt;&gt;"",'Your debts'!$F$6&lt;'Your debts'!$F$11),H243,0)+IF(AND('Your debts'!$F$7&lt;&gt;"",'Your debts'!$F$11&lt;&gt;"",'Your debts'!$F$7&lt;'Your debts'!$F$11),M243,0)+IF(AND('Your debts'!$F$8&lt;&gt;"",'Your debts'!$F$11&lt;&gt;"",'Your debts'!$F$8&lt;'Your debts'!$F$11),R243,0)+IF(AND('Your debts'!$F$9&lt;&gt;"",'Your debts'!$F$11&lt;&gt;"",'Your debts'!$F$9&lt;'Your debts'!$F$11),W243,0)+IF(AND('Your debts'!$F$10&lt;&gt;"",'Your debts'!$F$11&lt;&gt;"",'Your debts'!$F$10&lt;'Your debts'!$F$11),AB243,0)+IF(AND('Your debts'!$F$12&lt;&gt;"",'Your debts'!$F$11&lt;&gt;"",'Your debts'!$F$12&lt;'Your debts'!$F$11),AL243,0)+IF(AND('Your debts'!$F$13&lt;&gt;"",'Your debts'!$F$11&lt;&gt;"",'Your debts'!$F$13&lt;'Your debts'!$F$11),AQ243,0)+IF(AND('Your debts'!$F$14&lt;&gt;"",'Your debts'!$F$11&lt;&gt;"",'Your debts'!$F$14&lt;'Your debts'!$F$11),AV243,0)+IF(AND('Your debts'!$F$15&lt;&gt;"",'Your debts'!$F$11&lt;&gt;"",'Your debts'!$F$15&lt;'Your debts'!$F$11),BA243,0)))))</f>
        <v/>
      </c>
      <c r="AI243" s="33">
        <f>AG243-AH243</f>
        <v/>
      </c>
      <c r="AJ243" s="33">
        <f>IF(AN242&lt;=0,0,ROUND(AN242*(1+'Your debts'!$D$12/1200),2))</f>
        <v/>
      </c>
      <c r="AK243" s="33">
        <f>IF(AJ243&lt;=0,0,MIN('Your debts'!$E$12,AJ243))</f>
        <v/>
      </c>
      <c r="AL243" s="33">
        <f>AJ243-AK243</f>
        <v/>
      </c>
      <c r="AM243" s="33">
        <f>IF('Your debts'!$F$12="",0,MIN(AL243,MAX(0,MAX(0,'Your debts'!$C$19-(G243+L243+Q243+V243+AA243+AF243+AK243+AP243+AU243+AZ243))-(IF(AND('Your debts'!$F$6&lt;&gt;"",'Your debts'!$F$12&lt;&gt;"",'Your debts'!$F$6&lt;'Your debts'!$F$12),H243,0)+IF(AND('Your debts'!$F$7&lt;&gt;"",'Your debts'!$F$12&lt;&gt;"",'Your debts'!$F$7&lt;'Your debts'!$F$12),M243,0)+IF(AND('Your debts'!$F$8&lt;&gt;"",'Your debts'!$F$12&lt;&gt;"",'Your debts'!$F$8&lt;'Your debts'!$F$12),R243,0)+IF(AND('Your debts'!$F$9&lt;&gt;"",'Your debts'!$F$12&lt;&gt;"",'Your debts'!$F$9&lt;'Your debts'!$F$12),W243,0)+IF(AND('Your debts'!$F$10&lt;&gt;"",'Your debts'!$F$12&lt;&gt;"",'Your debts'!$F$10&lt;'Your debts'!$F$12),AB243,0)+IF(AND('Your debts'!$F$11&lt;&gt;"",'Your debts'!$F$12&lt;&gt;"",'Your debts'!$F$11&lt;'Your debts'!$F$12),AG243,0)+IF(AND('Your debts'!$F$13&lt;&gt;"",'Your debts'!$F$12&lt;&gt;"",'Your debts'!$F$13&lt;'Your debts'!$F$12),AQ243,0)+IF(AND('Your debts'!$F$14&lt;&gt;"",'Your debts'!$F$12&lt;&gt;"",'Your debts'!$F$14&lt;'Your debts'!$F$12),AV243,0)+IF(AND('Your debts'!$F$15&lt;&gt;"",'Your debts'!$F$12&lt;&gt;"",'Your debts'!$F$15&lt;'Your debts'!$F$12),BA243,0)))))</f>
        <v/>
      </c>
      <c r="AN243" s="33">
        <f>AL243-AM243</f>
        <v/>
      </c>
      <c r="AO243" s="33">
        <f>IF(AS242&lt;=0,0,ROUND(AS242*(1+'Your debts'!$D$13/1200),2))</f>
        <v/>
      </c>
      <c r="AP243" s="33">
        <f>IF(AO243&lt;=0,0,MIN('Your debts'!$E$13,AO243))</f>
        <v/>
      </c>
      <c r="AQ243" s="33">
        <f>AO243-AP243</f>
        <v/>
      </c>
      <c r="AR243" s="33">
        <f>IF('Your debts'!$F$13="",0,MIN(AQ243,MAX(0,MAX(0,'Your debts'!$C$19-(G243+L243+Q243+V243+AA243+AF243+AK243+AP243+AU243+AZ243))-(IF(AND('Your debts'!$F$6&lt;&gt;"",'Your debts'!$F$13&lt;&gt;"",'Your debts'!$F$6&lt;'Your debts'!$F$13),H243,0)+IF(AND('Your debts'!$F$7&lt;&gt;"",'Your debts'!$F$13&lt;&gt;"",'Your debts'!$F$7&lt;'Your debts'!$F$13),M243,0)+IF(AND('Your debts'!$F$8&lt;&gt;"",'Your debts'!$F$13&lt;&gt;"",'Your debts'!$F$8&lt;'Your debts'!$F$13),R243,0)+IF(AND('Your debts'!$F$9&lt;&gt;"",'Your debts'!$F$13&lt;&gt;"",'Your debts'!$F$9&lt;'Your debts'!$F$13),W243,0)+IF(AND('Your debts'!$F$10&lt;&gt;"",'Your debts'!$F$13&lt;&gt;"",'Your debts'!$F$10&lt;'Your debts'!$F$13),AB243,0)+IF(AND('Your debts'!$F$11&lt;&gt;"",'Your debts'!$F$13&lt;&gt;"",'Your debts'!$F$11&lt;'Your debts'!$F$13),AG243,0)+IF(AND('Your debts'!$F$12&lt;&gt;"",'Your debts'!$F$13&lt;&gt;"",'Your debts'!$F$12&lt;'Your debts'!$F$13),AL243,0)+IF(AND('Your debts'!$F$14&lt;&gt;"",'Your debts'!$F$13&lt;&gt;"",'Your debts'!$F$14&lt;'Your debts'!$F$13),AV243,0)+IF(AND('Your debts'!$F$15&lt;&gt;"",'Your debts'!$F$13&lt;&gt;"",'Your debts'!$F$15&lt;'Your debts'!$F$13),BA243,0)))))</f>
        <v/>
      </c>
      <c r="AS243" s="33">
        <f>AQ243-AR243</f>
        <v/>
      </c>
      <c r="AT243" s="33">
        <f>IF(AX242&lt;=0,0,ROUND(AX242*(1+'Your debts'!$D$14/1200),2))</f>
        <v/>
      </c>
      <c r="AU243" s="33">
        <f>IF(AT243&lt;=0,0,MIN('Your debts'!$E$14,AT243))</f>
        <v/>
      </c>
      <c r="AV243" s="33">
        <f>AT243-AU243</f>
        <v/>
      </c>
      <c r="AW243" s="33">
        <f>IF('Your debts'!$F$14="",0,MIN(AV243,MAX(0,MAX(0,'Your debts'!$C$19-(G243+L243+Q243+V243+AA243+AF243+AK243+AP243+AU243+AZ243))-(IF(AND('Your debts'!$F$6&lt;&gt;"",'Your debts'!$F$14&lt;&gt;"",'Your debts'!$F$6&lt;'Your debts'!$F$14),H243,0)+IF(AND('Your debts'!$F$7&lt;&gt;"",'Your debts'!$F$14&lt;&gt;"",'Your debts'!$F$7&lt;'Your debts'!$F$14),M243,0)+IF(AND('Your debts'!$F$8&lt;&gt;"",'Your debts'!$F$14&lt;&gt;"",'Your debts'!$F$8&lt;'Your debts'!$F$14),R243,0)+IF(AND('Your debts'!$F$9&lt;&gt;"",'Your debts'!$F$14&lt;&gt;"",'Your debts'!$F$9&lt;'Your debts'!$F$14),W243,0)+IF(AND('Your debts'!$F$10&lt;&gt;"",'Your debts'!$F$14&lt;&gt;"",'Your debts'!$F$10&lt;'Your debts'!$F$14),AB243,0)+IF(AND('Your debts'!$F$11&lt;&gt;"",'Your debts'!$F$14&lt;&gt;"",'Your debts'!$F$11&lt;'Your debts'!$F$14),AG243,0)+IF(AND('Your debts'!$F$12&lt;&gt;"",'Your debts'!$F$14&lt;&gt;"",'Your debts'!$F$12&lt;'Your debts'!$F$14),AL243,0)+IF(AND('Your debts'!$F$13&lt;&gt;"",'Your debts'!$F$14&lt;&gt;"",'Your debts'!$F$13&lt;'Your debts'!$F$14),AQ243,0)+IF(AND('Your debts'!$F$15&lt;&gt;"",'Your debts'!$F$14&lt;&gt;"",'Your debts'!$F$15&lt;'Your debts'!$F$14),BA243,0)))))</f>
        <v/>
      </c>
      <c r="AX243" s="33">
        <f>AV243-AW243</f>
        <v/>
      </c>
      <c r="AY243" s="33">
        <f>IF(BC242&lt;=0,0,ROUND(BC242*(1+'Your debts'!$D$15/1200),2))</f>
        <v/>
      </c>
      <c r="AZ243" s="33">
        <f>IF(AY243&lt;=0,0,MIN('Your debts'!$E$15,AY243))</f>
        <v/>
      </c>
      <c r="BA243" s="33">
        <f>AY243-AZ243</f>
        <v/>
      </c>
      <c r="BB243" s="33">
        <f>IF('Your debts'!$F$15="",0,MIN(BA243,MAX(0,MAX(0,'Your debts'!$C$19-(G243+L243+Q243+V243+AA243+AF243+AK243+AP243+AU243+AZ243))-(IF(AND('Your debts'!$F$6&lt;&gt;"",'Your debts'!$F$15&lt;&gt;"",'Your debts'!$F$6&lt;'Your debts'!$F$15),H243,0)+IF(AND('Your debts'!$F$7&lt;&gt;"",'Your debts'!$F$15&lt;&gt;"",'Your debts'!$F$7&lt;'Your debts'!$F$15),M243,0)+IF(AND('Your debts'!$F$8&lt;&gt;"",'Your debts'!$F$15&lt;&gt;"",'Your debts'!$F$8&lt;'Your debts'!$F$15),R243,0)+IF(AND('Your debts'!$F$9&lt;&gt;"",'Your debts'!$F$15&lt;&gt;"",'Your debts'!$F$9&lt;'Your debts'!$F$15),W243,0)+IF(AND('Your debts'!$F$10&lt;&gt;"",'Your debts'!$F$15&lt;&gt;"",'Your debts'!$F$10&lt;'Your debts'!$F$15),AB243,0)+IF(AND('Your debts'!$F$11&lt;&gt;"",'Your debts'!$F$15&lt;&gt;"",'Your debts'!$F$11&lt;'Your debts'!$F$15),AG243,0)+IF(AND('Your debts'!$F$12&lt;&gt;"",'Your debts'!$F$15&lt;&gt;"",'Your debts'!$F$12&lt;'Your debts'!$F$15),AL243,0)+IF(AND('Your debts'!$F$13&lt;&gt;"",'Your debts'!$F$15&lt;&gt;"",'Your debts'!$F$13&lt;'Your debts'!$F$15),AQ243,0)+IF(AND('Your debts'!$F$14&lt;&gt;"",'Your debts'!$F$15&lt;&gt;"",'Your debts'!$F$14&lt;'Your debts'!$F$15),AV243,0)))))</f>
        <v/>
      </c>
      <c r="BC243" s="33">
        <f>BA243-BB243</f>
        <v/>
      </c>
    </row>
    <row r="244">
      <c r="A244" s="30" t="n">
        <v>229</v>
      </c>
      <c r="B244" s="31">
        <f>EDATE($B$15,229)</f>
        <v/>
      </c>
      <c r="C244" s="32">
        <f>IF(J243&lt;=0,0,F244-J243)+IF(O243&lt;=0,0,K244-O243)+IF(T243&lt;=0,0,P244-T243)+IF(Y243&lt;=0,0,U244-Y243)+IF(AD243&lt;=0,0,Z244-AD243)+IF(AI243&lt;=0,0,AE244-AI243)+IF(AN243&lt;=0,0,AJ244-AN243)+IF(AS243&lt;=0,0,AO244-AS243)+IF(AX243&lt;=0,0,AT244-AX243)+IF(BC243&lt;=0,0,AY244-BC243)</f>
        <v/>
      </c>
      <c r="D244" s="32">
        <f>G244+I244+L244+N244+Q244+S244+V244+X244+AA244+AC244+AF244+AH244+AK244+AM244+AP244+AR244+AU244+AW244+AZ244+BB244</f>
        <v/>
      </c>
      <c r="E244" s="32">
        <f>J244+O244+T244+Y244+AD244+AI244+AN244+AS244+AX244+BC244</f>
        <v/>
      </c>
      <c r="F244" s="33">
        <f>IF(J243&lt;=0,0,ROUND(J243*(1+'Your debts'!$D$6/1200),2))</f>
        <v/>
      </c>
      <c r="G244" s="33">
        <f>IF(F244&lt;=0,0,MIN('Your debts'!$E$6,F244))</f>
        <v/>
      </c>
      <c r="H244" s="33">
        <f>F244-G244</f>
        <v/>
      </c>
      <c r="I244" s="33">
        <f>IF('Your debts'!$F$6="",0,MIN(H244,MAX(0,MAX(0,'Your debts'!$C$19-(G244+L244+Q244+V244+AA244+AF244+AK244+AP244+AU244+AZ244))-(IF(AND('Your debts'!$F$7&lt;&gt;"",'Your debts'!$F$6&lt;&gt;"",'Your debts'!$F$7&lt;'Your debts'!$F$6),M244,0)+IF(AND('Your debts'!$F$8&lt;&gt;"",'Your debts'!$F$6&lt;&gt;"",'Your debts'!$F$8&lt;'Your debts'!$F$6),R244,0)+IF(AND('Your debts'!$F$9&lt;&gt;"",'Your debts'!$F$6&lt;&gt;"",'Your debts'!$F$9&lt;'Your debts'!$F$6),W244,0)+IF(AND('Your debts'!$F$10&lt;&gt;"",'Your debts'!$F$6&lt;&gt;"",'Your debts'!$F$10&lt;'Your debts'!$F$6),AB244,0)+IF(AND('Your debts'!$F$11&lt;&gt;"",'Your debts'!$F$6&lt;&gt;"",'Your debts'!$F$11&lt;'Your debts'!$F$6),AG244,0)+IF(AND('Your debts'!$F$12&lt;&gt;"",'Your debts'!$F$6&lt;&gt;"",'Your debts'!$F$12&lt;'Your debts'!$F$6),AL244,0)+IF(AND('Your debts'!$F$13&lt;&gt;"",'Your debts'!$F$6&lt;&gt;"",'Your debts'!$F$13&lt;'Your debts'!$F$6),AQ244,0)+IF(AND('Your debts'!$F$14&lt;&gt;"",'Your debts'!$F$6&lt;&gt;"",'Your debts'!$F$14&lt;'Your debts'!$F$6),AV244,0)+IF(AND('Your debts'!$F$15&lt;&gt;"",'Your debts'!$F$6&lt;&gt;"",'Your debts'!$F$15&lt;'Your debts'!$F$6),BA244,0)))))</f>
        <v/>
      </c>
      <c r="J244" s="33">
        <f>H244-I244</f>
        <v/>
      </c>
      <c r="K244" s="33">
        <f>IF(O243&lt;=0,0,ROUND(O243*(1+'Your debts'!$D$7/1200),2))</f>
        <v/>
      </c>
      <c r="L244" s="33">
        <f>IF(K244&lt;=0,0,MIN('Your debts'!$E$7,K244))</f>
        <v/>
      </c>
      <c r="M244" s="33">
        <f>K244-L244</f>
        <v/>
      </c>
      <c r="N244" s="33">
        <f>IF('Your debts'!$F$7="",0,MIN(M244,MAX(0,MAX(0,'Your debts'!$C$19-(G244+L244+Q244+V244+AA244+AF244+AK244+AP244+AU244+AZ244))-(IF(AND('Your debts'!$F$6&lt;&gt;"",'Your debts'!$F$7&lt;&gt;"",'Your debts'!$F$6&lt;'Your debts'!$F$7),H244,0)+IF(AND('Your debts'!$F$8&lt;&gt;"",'Your debts'!$F$7&lt;&gt;"",'Your debts'!$F$8&lt;'Your debts'!$F$7),R244,0)+IF(AND('Your debts'!$F$9&lt;&gt;"",'Your debts'!$F$7&lt;&gt;"",'Your debts'!$F$9&lt;'Your debts'!$F$7),W244,0)+IF(AND('Your debts'!$F$10&lt;&gt;"",'Your debts'!$F$7&lt;&gt;"",'Your debts'!$F$10&lt;'Your debts'!$F$7),AB244,0)+IF(AND('Your debts'!$F$11&lt;&gt;"",'Your debts'!$F$7&lt;&gt;"",'Your debts'!$F$11&lt;'Your debts'!$F$7),AG244,0)+IF(AND('Your debts'!$F$12&lt;&gt;"",'Your debts'!$F$7&lt;&gt;"",'Your debts'!$F$12&lt;'Your debts'!$F$7),AL244,0)+IF(AND('Your debts'!$F$13&lt;&gt;"",'Your debts'!$F$7&lt;&gt;"",'Your debts'!$F$13&lt;'Your debts'!$F$7),AQ244,0)+IF(AND('Your debts'!$F$14&lt;&gt;"",'Your debts'!$F$7&lt;&gt;"",'Your debts'!$F$14&lt;'Your debts'!$F$7),AV244,0)+IF(AND('Your debts'!$F$15&lt;&gt;"",'Your debts'!$F$7&lt;&gt;"",'Your debts'!$F$15&lt;'Your debts'!$F$7),BA244,0)))))</f>
        <v/>
      </c>
      <c r="O244" s="33">
        <f>M244-N244</f>
        <v/>
      </c>
      <c r="P244" s="33">
        <f>IF(T243&lt;=0,0,ROUND(T243*(1+'Your debts'!$D$8/1200),2))</f>
        <v/>
      </c>
      <c r="Q244" s="33">
        <f>IF(P244&lt;=0,0,MIN('Your debts'!$E$8,P244))</f>
        <v/>
      </c>
      <c r="R244" s="33">
        <f>P244-Q244</f>
        <v/>
      </c>
      <c r="S244" s="33">
        <f>IF('Your debts'!$F$8="",0,MIN(R244,MAX(0,MAX(0,'Your debts'!$C$19-(G244+L244+Q244+V244+AA244+AF244+AK244+AP244+AU244+AZ244))-(IF(AND('Your debts'!$F$6&lt;&gt;"",'Your debts'!$F$8&lt;&gt;"",'Your debts'!$F$6&lt;'Your debts'!$F$8),H244,0)+IF(AND('Your debts'!$F$7&lt;&gt;"",'Your debts'!$F$8&lt;&gt;"",'Your debts'!$F$7&lt;'Your debts'!$F$8),M244,0)+IF(AND('Your debts'!$F$9&lt;&gt;"",'Your debts'!$F$8&lt;&gt;"",'Your debts'!$F$9&lt;'Your debts'!$F$8),W244,0)+IF(AND('Your debts'!$F$10&lt;&gt;"",'Your debts'!$F$8&lt;&gt;"",'Your debts'!$F$10&lt;'Your debts'!$F$8),AB244,0)+IF(AND('Your debts'!$F$11&lt;&gt;"",'Your debts'!$F$8&lt;&gt;"",'Your debts'!$F$11&lt;'Your debts'!$F$8),AG244,0)+IF(AND('Your debts'!$F$12&lt;&gt;"",'Your debts'!$F$8&lt;&gt;"",'Your debts'!$F$12&lt;'Your debts'!$F$8),AL244,0)+IF(AND('Your debts'!$F$13&lt;&gt;"",'Your debts'!$F$8&lt;&gt;"",'Your debts'!$F$13&lt;'Your debts'!$F$8),AQ244,0)+IF(AND('Your debts'!$F$14&lt;&gt;"",'Your debts'!$F$8&lt;&gt;"",'Your debts'!$F$14&lt;'Your debts'!$F$8),AV244,0)+IF(AND('Your debts'!$F$15&lt;&gt;"",'Your debts'!$F$8&lt;&gt;"",'Your debts'!$F$15&lt;'Your debts'!$F$8),BA244,0)))))</f>
        <v/>
      </c>
      <c r="T244" s="33">
        <f>R244-S244</f>
        <v/>
      </c>
      <c r="U244" s="33">
        <f>IF(Y243&lt;=0,0,ROUND(Y243*(1+'Your debts'!$D$9/1200),2))</f>
        <v/>
      </c>
      <c r="V244" s="33">
        <f>IF(U244&lt;=0,0,MIN('Your debts'!$E$9,U244))</f>
        <v/>
      </c>
      <c r="W244" s="33">
        <f>U244-V244</f>
        <v/>
      </c>
      <c r="X244" s="33">
        <f>IF('Your debts'!$F$9="",0,MIN(W244,MAX(0,MAX(0,'Your debts'!$C$19-(G244+L244+Q244+V244+AA244+AF244+AK244+AP244+AU244+AZ244))-(IF(AND('Your debts'!$F$6&lt;&gt;"",'Your debts'!$F$9&lt;&gt;"",'Your debts'!$F$6&lt;'Your debts'!$F$9),H244,0)+IF(AND('Your debts'!$F$7&lt;&gt;"",'Your debts'!$F$9&lt;&gt;"",'Your debts'!$F$7&lt;'Your debts'!$F$9),M244,0)+IF(AND('Your debts'!$F$8&lt;&gt;"",'Your debts'!$F$9&lt;&gt;"",'Your debts'!$F$8&lt;'Your debts'!$F$9),R244,0)+IF(AND('Your debts'!$F$10&lt;&gt;"",'Your debts'!$F$9&lt;&gt;"",'Your debts'!$F$10&lt;'Your debts'!$F$9),AB244,0)+IF(AND('Your debts'!$F$11&lt;&gt;"",'Your debts'!$F$9&lt;&gt;"",'Your debts'!$F$11&lt;'Your debts'!$F$9),AG244,0)+IF(AND('Your debts'!$F$12&lt;&gt;"",'Your debts'!$F$9&lt;&gt;"",'Your debts'!$F$12&lt;'Your debts'!$F$9),AL244,0)+IF(AND('Your debts'!$F$13&lt;&gt;"",'Your debts'!$F$9&lt;&gt;"",'Your debts'!$F$13&lt;'Your debts'!$F$9),AQ244,0)+IF(AND('Your debts'!$F$14&lt;&gt;"",'Your debts'!$F$9&lt;&gt;"",'Your debts'!$F$14&lt;'Your debts'!$F$9),AV244,0)+IF(AND('Your debts'!$F$15&lt;&gt;"",'Your debts'!$F$9&lt;&gt;"",'Your debts'!$F$15&lt;'Your debts'!$F$9),BA244,0)))))</f>
        <v/>
      </c>
      <c r="Y244" s="33">
        <f>W244-X244</f>
        <v/>
      </c>
      <c r="Z244" s="33">
        <f>IF(AD243&lt;=0,0,ROUND(AD243*(1+'Your debts'!$D$10/1200),2))</f>
        <v/>
      </c>
      <c r="AA244" s="33">
        <f>IF(Z244&lt;=0,0,MIN('Your debts'!$E$10,Z244))</f>
        <v/>
      </c>
      <c r="AB244" s="33">
        <f>Z244-AA244</f>
        <v/>
      </c>
      <c r="AC244" s="33">
        <f>IF('Your debts'!$F$10="",0,MIN(AB244,MAX(0,MAX(0,'Your debts'!$C$19-(G244+L244+Q244+V244+AA244+AF244+AK244+AP244+AU244+AZ244))-(IF(AND('Your debts'!$F$6&lt;&gt;"",'Your debts'!$F$10&lt;&gt;"",'Your debts'!$F$6&lt;'Your debts'!$F$10),H244,0)+IF(AND('Your debts'!$F$7&lt;&gt;"",'Your debts'!$F$10&lt;&gt;"",'Your debts'!$F$7&lt;'Your debts'!$F$10),M244,0)+IF(AND('Your debts'!$F$8&lt;&gt;"",'Your debts'!$F$10&lt;&gt;"",'Your debts'!$F$8&lt;'Your debts'!$F$10),R244,0)+IF(AND('Your debts'!$F$9&lt;&gt;"",'Your debts'!$F$10&lt;&gt;"",'Your debts'!$F$9&lt;'Your debts'!$F$10),W244,0)+IF(AND('Your debts'!$F$11&lt;&gt;"",'Your debts'!$F$10&lt;&gt;"",'Your debts'!$F$11&lt;'Your debts'!$F$10),AG244,0)+IF(AND('Your debts'!$F$12&lt;&gt;"",'Your debts'!$F$10&lt;&gt;"",'Your debts'!$F$12&lt;'Your debts'!$F$10),AL244,0)+IF(AND('Your debts'!$F$13&lt;&gt;"",'Your debts'!$F$10&lt;&gt;"",'Your debts'!$F$13&lt;'Your debts'!$F$10),AQ244,0)+IF(AND('Your debts'!$F$14&lt;&gt;"",'Your debts'!$F$10&lt;&gt;"",'Your debts'!$F$14&lt;'Your debts'!$F$10),AV244,0)+IF(AND('Your debts'!$F$15&lt;&gt;"",'Your debts'!$F$10&lt;&gt;"",'Your debts'!$F$15&lt;'Your debts'!$F$10),BA244,0)))))</f>
        <v/>
      </c>
      <c r="AD244" s="33">
        <f>AB244-AC244</f>
        <v/>
      </c>
      <c r="AE244" s="33">
        <f>IF(AI243&lt;=0,0,ROUND(AI243*(1+'Your debts'!$D$11/1200),2))</f>
        <v/>
      </c>
      <c r="AF244" s="33">
        <f>IF(AE244&lt;=0,0,MIN('Your debts'!$E$11,AE244))</f>
        <v/>
      </c>
      <c r="AG244" s="33">
        <f>AE244-AF244</f>
        <v/>
      </c>
      <c r="AH244" s="33">
        <f>IF('Your debts'!$F$11="",0,MIN(AG244,MAX(0,MAX(0,'Your debts'!$C$19-(G244+L244+Q244+V244+AA244+AF244+AK244+AP244+AU244+AZ244))-(IF(AND('Your debts'!$F$6&lt;&gt;"",'Your debts'!$F$11&lt;&gt;"",'Your debts'!$F$6&lt;'Your debts'!$F$11),H244,0)+IF(AND('Your debts'!$F$7&lt;&gt;"",'Your debts'!$F$11&lt;&gt;"",'Your debts'!$F$7&lt;'Your debts'!$F$11),M244,0)+IF(AND('Your debts'!$F$8&lt;&gt;"",'Your debts'!$F$11&lt;&gt;"",'Your debts'!$F$8&lt;'Your debts'!$F$11),R244,0)+IF(AND('Your debts'!$F$9&lt;&gt;"",'Your debts'!$F$11&lt;&gt;"",'Your debts'!$F$9&lt;'Your debts'!$F$11),W244,0)+IF(AND('Your debts'!$F$10&lt;&gt;"",'Your debts'!$F$11&lt;&gt;"",'Your debts'!$F$10&lt;'Your debts'!$F$11),AB244,0)+IF(AND('Your debts'!$F$12&lt;&gt;"",'Your debts'!$F$11&lt;&gt;"",'Your debts'!$F$12&lt;'Your debts'!$F$11),AL244,0)+IF(AND('Your debts'!$F$13&lt;&gt;"",'Your debts'!$F$11&lt;&gt;"",'Your debts'!$F$13&lt;'Your debts'!$F$11),AQ244,0)+IF(AND('Your debts'!$F$14&lt;&gt;"",'Your debts'!$F$11&lt;&gt;"",'Your debts'!$F$14&lt;'Your debts'!$F$11),AV244,0)+IF(AND('Your debts'!$F$15&lt;&gt;"",'Your debts'!$F$11&lt;&gt;"",'Your debts'!$F$15&lt;'Your debts'!$F$11),BA244,0)))))</f>
        <v/>
      </c>
      <c r="AI244" s="33">
        <f>AG244-AH244</f>
        <v/>
      </c>
      <c r="AJ244" s="33">
        <f>IF(AN243&lt;=0,0,ROUND(AN243*(1+'Your debts'!$D$12/1200),2))</f>
        <v/>
      </c>
      <c r="AK244" s="33">
        <f>IF(AJ244&lt;=0,0,MIN('Your debts'!$E$12,AJ244))</f>
        <v/>
      </c>
      <c r="AL244" s="33">
        <f>AJ244-AK244</f>
        <v/>
      </c>
      <c r="AM244" s="33">
        <f>IF('Your debts'!$F$12="",0,MIN(AL244,MAX(0,MAX(0,'Your debts'!$C$19-(G244+L244+Q244+V244+AA244+AF244+AK244+AP244+AU244+AZ244))-(IF(AND('Your debts'!$F$6&lt;&gt;"",'Your debts'!$F$12&lt;&gt;"",'Your debts'!$F$6&lt;'Your debts'!$F$12),H244,0)+IF(AND('Your debts'!$F$7&lt;&gt;"",'Your debts'!$F$12&lt;&gt;"",'Your debts'!$F$7&lt;'Your debts'!$F$12),M244,0)+IF(AND('Your debts'!$F$8&lt;&gt;"",'Your debts'!$F$12&lt;&gt;"",'Your debts'!$F$8&lt;'Your debts'!$F$12),R244,0)+IF(AND('Your debts'!$F$9&lt;&gt;"",'Your debts'!$F$12&lt;&gt;"",'Your debts'!$F$9&lt;'Your debts'!$F$12),W244,0)+IF(AND('Your debts'!$F$10&lt;&gt;"",'Your debts'!$F$12&lt;&gt;"",'Your debts'!$F$10&lt;'Your debts'!$F$12),AB244,0)+IF(AND('Your debts'!$F$11&lt;&gt;"",'Your debts'!$F$12&lt;&gt;"",'Your debts'!$F$11&lt;'Your debts'!$F$12),AG244,0)+IF(AND('Your debts'!$F$13&lt;&gt;"",'Your debts'!$F$12&lt;&gt;"",'Your debts'!$F$13&lt;'Your debts'!$F$12),AQ244,0)+IF(AND('Your debts'!$F$14&lt;&gt;"",'Your debts'!$F$12&lt;&gt;"",'Your debts'!$F$14&lt;'Your debts'!$F$12),AV244,0)+IF(AND('Your debts'!$F$15&lt;&gt;"",'Your debts'!$F$12&lt;&gt;"",'Your debts'!$F$15&lt;'Your debts'!$F$12),BA244,0)))))</f>
        <v/>
      </c>
      <c r="AN244" s="33">
        <f>AL244-AM244</f>
        <v/>
      </c>
      <c r="AO244" s="33">
        <f>IF(AS243&lt;=0,0,ROUND(AS243*(1+'Your debts'!$D$13/1200),2))</f>
        <v/>
      </c>
      <c r="AP244" s="33">
        <f>IF(AO244&lt;=0,0,MIN('Your debts'!$E$13,AO244))</f>
        <v/>
      </c>
      <c r="AQ244" s="33">
        <f>AO244-AP244</f>
        <v/>
      </c>
      <c r="AR244" s="33">
        <f>IF('Your debts'!$F$13="",0,MIN(AQ244,MAX(0,MAX(0,'Your debts'!$C$19-(G244+L244+Q244+V244+AA244+AF244+AK244+AP244+AU244+AZ244))-(IF(AND('Your debts'!$F$6&lt;&gt;"",'Your debts'!$F$13&lt;&gt;"",'Your debts'!$F$6&lt;'Your debts'!$F$13),H244,0)+IF(AND('Your debts'!$F$7&lt;&gt;"",'Your debts'!$F$13&lt;&gt;"",'Your debts'!$F$7&lt;'Your debts'!$F$13),M244,0)+IF(AND('Your debts'!$F$8&lt;&gt;"",'Your debts'!$F$13&lt;&gt;"",'Your debts'!$F$8&lt;'Your debts'!$F$13),R244,0)+IF(AND('Your debts'!$F$9&lt;&gt;"",'Your debts'!$F$13&lt;&gt;"",'Your debts'!$F$9&lt;'Your debts'!$F$13),W244,0)+IF(AND('Your debts'!$F$10&lt;&gt;"",'Your debts'!$F$13&lt;&gt;"",'Your debts'!$F$10&lt;'Your debts'!$F$13),AB244,0)+IF(AND('Your debts'!$F$11&lt;&gt;"",'Your debts'!$F$13&lt;&gt;"",'Your debts'!$F$11&lt;'Your debts'!$F$13),AG244,0)+IF(AND('Your debts'!$F$12&lt;&gt;"",'Your debts'!$F$13&lt;&gt;"",'Your debts'!$F$12&lt;'Your debts'!$F$13),AL244,0)+IF(AND('Your debts'!$F$14&lt;&gt;"",'Your debts'!$F$13&lt;&gt;"",'Your debts'!$F$14&lt;'Your debts'!$F$13),AV244,0)+IF(AND('Your debts'!$F$15&lt;&gt;"",'Your debts'!$F$13&lt;&gt;"",'Your debts'!$F$15&lt;'Your debts'!$F$13),BA244,0)))))</f>
        <v/>
      </c>
      <c r="AS244" s="33">
        <f>AQ244-AR244</f>
        <v/>
      </c>
      <c r="AT244" s="33">
        <f>IF(AX243&lt;=0,0,ROUND(AX243*(1+'Your debts'!$D$14/1200),2))</f>
        <v/>
      </c>
      <c r="AU244" s="33">
        <f>IF(AT244&lt;=0,0,MIN('Your debts'!$E$14,AT244))</f>
        <v/>
      </c>
      <c r="AV244" s="33">
        <f>AT244-AU244</f>
        <v/>
      </c>
      <c r="AW244" s="33">
        <f>IF('Your debts'!$F$14="",0,MIN(AV244,MAX(0,MAX(0,'Your debts'!$C$19-(G244+L244+Q244+V244+AA244+AF244+AK244+AP244+AU244+AZ244))-(IF(AND('Your debts'!$F$6&lt;&gt;"",'Your debts'!$F$14&lt;&gt;"",'Your debts'!$F$6&lt;'Your debts'!$F$14),H244,0)+IF(AND('Your debts'!$F$7&lt;&gt;"",'Your debts'!$F$14&lt;&gt;"",'Your debts'!$F$7&lt;'Your debts'!$F$14),M244,0)+IF(AND('Your debts'!$F$8&lt;&gt;"",'Your debts'!$F$14&lt;&gt;"",'Your debts'!$F$8&lt;'Your debts'!$F$14),R244,0)+IF(AND('Your debts'!$F$9&lt;&gt;"",'Your debts'!$F$14&lt;&gt;"",'Your debts'!$F$9&lt;'Your debts'!$F$14),W244,0)+IF(AND('Your debts'!$F$10&lt;&gt;"",'Your debts'!$F$14&lt;&gt;"",'Your debts'!$F$10&lt;'Your debts'!$F$14),AB244,0)+IF(AND('Your debts'!$F$11&lt;&gt;"",'Your debts'!$F$14&lt;&gt;"",'Your debts'!$F$11&lt;'Your debts'!$F$14),AG244,0)+IF(AND('Your debts'!$F$12&lt;&gt;"",'Your debts'!$F$14&lt;&gt;"",'Your debts'!$F$12&lt;'Your debts'!$F$14),AL244,0)+IF(AND('Your debts'!$F$13&lt;&gt;"",'Your debts'!$F$14&lt;&gt;"",'Your debts'!$F$13&lt;'Your debts'!$F$14),AQ244,0)+IF(AND('Your debts'!$F$15&lt;&gt;"",'Your debts'!$F$14&lt;&gt;"",'Your debts'!$F$15&lt;'Your debts'!$F$14),BA244,0)))))</f>
        <v/>
      </c>
      <c r="AX244" s="33">
        <f>AV244-AW244</f>
        <v/>
      </c>
      <c r="AY244" s="33">
        <f>IF(BC243&lt;=0,0,ROUND(BC243*(1+'Your debts'!$D$15/1200),2))</f>
        <v/>
      </c>
      <c r="AZ244" s="33">
        <f>IF(AY244&lt;=0,0,MIN('Your debts'!$E$15,AY244))</f>
        <v/>
      </c>
      <c r="BA244" s="33">
        <f>AY244-AZ244</f>
        <v/>
      </c>
      <c r="BB244" s="33">
        <f>IF('Your debts'!$F$15="",0,MIN(BA244,MAX(0,MAX(0,'Your debts'!$C$19-(G244+L244+Q244+V244+AA244+AF244+AK244+AP244+AU244+AZ244))-(IF(AND('Your debts'!$F$6&lt;&gt;"",'Your debts'!$F$15&lt;&gt;"",'Your debts'!$F$6&lt;'Your debts'!$F$15),H244,0)+IF(AND('Your debts'!$F$7&lt;&gt;"",'Your debts'!$F$15&lt;&gt;"",'Your debts'!$F$7&lt;'Your debts'!$F$15),M244,0)+IF(AND('Your debts'!$F$8&lt;&gt;"",'Your debts'!$F$15&lt;&gt;"",'Your debts'!$F$8&lt;'Your debts'!$F$15),R244,0)+IF(AND('Your debts'!$F$9&lt;&gt;"",'Your debts'!$F$15&lt;&gt;"",'Your debts'!$F$9&lt;'Your debts'!$F$15),W244,0)+IF(AND('Your debts'!$F$10&lt;&gt;"",'Your debts'!$F$15&lt;&gt;"",'Your debts'!$F$10&lt;'Your debts'!$F$15),AB244,0)+IF(AND('Your debts'!$F$11&lt;&gt;"",'Your debts'!$F$15&lt;&gt;"",'Your debts'!$F$11&lt;'Your debts'!$F$15),AG244,0)+IF(AND('Your debts'!$F$12&lt;&gt;"",'Your debts'!$F$15&lt;&gt;"",'Your debts'!$F$12&lt;'Your debts'!$F$15),AL244,0)+IF(AND('Your debts'!$F$13&lt;&gt;"",'Your debts'!$F$15&lt;&gt;"",'Your debts'!$F$13&lt;'Your debts'!$F$15),AQ244,0)+IF(AND('Your debts'!$F$14&lt;&gt;"",'Your debts'!$F$15&lt;&gt;"",'Your debts'!$F$14&lt;'Your debts'!$F$15),AV244,0)))))</f>
        <v/>
      </c>
      <c r="BC244" s="33">
        <f>BA244-BB244</f>
        <v/>
      </c>
    </row>
    <row r="245">
      <c r="A245" s="30" t="n">
        <v>230</v>
      </c>
      <c r="B245" s="31">
        <f>EDATE($B$15,230)</f>
        <v/>
      </c>
      <c r="C245" s="32">
        <f>IF(J244&lt;=0,0,F245-J244)+IF(O244&lt;=0,0,K245-O244)+IF(T244&lt;=0,0,P245-T244)+IF(Y244&lt;=0,0,U245-Y244)+IF(AD244&lt;=0,0,Z245-AD244)+IF(AI244&lt;=0,0,AE245-AI244)+IF(AN244&lt;=0,0,AJ245-AN244)+IF(AS244&lt;=0,0,AO245-AS244)+IF(AX244&lt;=0,0,AT245-AX244)+IF(BC244&lt;=0,0,AY245-BC244)</f>
        <v/>
      </c>
      <c r="D245" s="32">
        <f>G245+I245+L245+N245+Q245+S245+V245+X245+AA245+AC245+AF245+AH245+AK245+AM245+AP245+AR245+AU245+AW245+AZ245+BB245</f>
        <v/>
      </c>
      <c r="E245" s="32">
        <f>J245+O245+T245+Y245+AD245+AI245+AN245+AS245+AX245+BC245</f>
        <v/>
      </c>
      <c r="F245" s="33">
        <f>IF(J244&lt;=0,0,ROUND(J244*(1+'Your debts'!$D$6/1200),2))</f>
        <v/>
      </c>
      <c r="G245" s="33">
        <f>IF(F245&lt;=0,0,MIN('Your debts'!$E$6,F245))</f>
        <v/>
      </c>
      <c r="H245" s="33">
        <f>F245-G245</f>
        <v/>
      </c>
      <c r="I245" s="33">
        <f>IF('Your debts'!$F$6="",0,MIN(H245,MAX(0,MAX(0,'Your debts'!$C$19-(G245+L245+Q245+V245+AA245+AF245+AK245+AP245+AU245+AZ245))-(IF(AND('Your debts'!$F$7&lt;&gt;"",'Your debts'!$F$6&lt;&gt;"",'Your debts'!$F$7&lt;'Your debts'!$F$6),M245,0)+IF(AND('Your debts'!$F$8&lt;&gt;"",'Your debts'!$F$6&lt;&gt;"",'Your debts'!$F$8&lt;'Your debts'!$F$6),R245,0)+IF(AND('Your debts'!$F$9&lt;&gt;"",'Your debts'!$F$6&lt;&gt;"",'Your debts'!$F$9&lt;'Your debts'!$F$6),W245,0)+IF(AND('Your debts'!$F$10&lt;&gt;"",'Your debts'!$F$6&lt;&gt;"",'Your debts'!$F$10&lt;'Your debts'!$F$6),AB245,0)+IF(AND('Your debts'!$F$11&lt;&gt;"",'Your debts'!$F$6&lt;&gt;"",'Your debts'!$F$11&lt;'Your debts'!$F$6),AG245,0)+IF(AND('Your debts'!$F$12&lt;&gt;"",'Your debts'!$F$6&lt;&gt;"",'Your debts'!$F$12&lt;'Your debts'!$F$6),AL245,0)+IF(AND('Your debts'!$F$13&lt;&gt;"",'Your debts'!$F$6&lt;&gt;"",'Your debts'!$F$13&lt;'Your debts'!$F$6),AQ245,0)+IF(AND('Your debts'!$F$14&lt;&gt;"",'Your debts'!$F$6&lt;&gt;"",'Your debts'!$F$14&lt;'Your debts'!$F$6),AV245,0)+IF(AND('Your debts'!$F$15&lt;&gt;"",'Your debts'!$F$6&lt;&gt;"",'Your debts'!$F$15&lt;'Your debts'!$F$6),BA245,0)))))</f>
        <v/>
      </c>
      <c r="J245" s="33">
        <f>H245-I245</f>
        <v/>
      </c>
      <c r="K245" s="33">
        <f>IF(O244&lt;=0,0,ROUND(O244*(1+'Your debts'!$D$7/1200),2))</f>
        <v/>
      </c>
      <c r="L245" s="33">
        <f>IF(K245&lt;=0,0,MIN('Your debts'!$E$7,K245))</f>
        <v/>
      </c>
      <c r="M245" s="33">
        <f>K245-L245</f>
        <v/>
      </c>
      <c r="N245" s="33">
        <f>IF('Your debts'!$F$7="",0,MIN(M245,MAX(0,MAX(0,'Your debts'!$C$19-(G245+L245+Q245+V245+AA245+AF245+AK245+AP245+AU245+AZ245))-(IF(AND('Your debts'!$F$6&lt;&gt;"",'Your debts'!$F$7&lt;&gt;"",'Your debts'!$F$6&lt;'Your debts'!$F$7),H245,0)+IF(AND('Your debts'!$F$8&lt;&gt;"",'Your debts'!$F$7&lt;&gt;"",'Your debts'!$F$8&lt;'Your debts'!$F$7),R245,0)+IF(AND('Your debts'!$F$9&lt;&gt;"",'Your debts'!$F$7&lt;&gt;"",'Your debts'!$F$9&lt;'Your debts'!$F$7),W245,0)+IF(AND('Your debts'!$F$10&lt;&gt;"",'Your debts'!$F$7&lt;&gt;"",'Your debts'!$F$10&lt;'Your debts'!$F$7),AB245,0)+IF(AND('Your debts'!$F$11&lt;&gt;"",'Your debts'!$F$7&lt;&gt;"",'Your debts'!$F$11&lt;'Your debts'!$F$7),AG245,0)+IF(AND('Your debts'!$F$12&lt;&gt;"",'Your debts'!$F$7&lt;&gt;"",'Your debts'!$F$12&lt;'Your debts'!$F$7),AL245,0)+IF(AND('Your debts'!$F$13&lt;&gt;"",'Your debts'!$F$7&lt;&gt;"",'Your debts'!$F$13&lt;'Your debts'!$F$7),AQ245,0)+IF(AND('Your debts'!$F$14&lt;&gt;"",'Your debts'!$F$7&lt;&gt;"",'Your debts'!$F$14&lt;'Your debts'!$F$7),AV245,0)+IF(AND('Your debts'!$F$15&lt;&gt;"",'Your debts'!$F$7&lt;&gt;"",'Your debts'!$F$15&lt;'Your debts'!$F$7),BA245,0)))))</f>
        <v/>
      </c>
      <c r="O245" s="33">
        <f>M245-N245</f>
        <v/>
      </c>
      <c r="P245" s="33">
        <f>IF(T244&lt;=0,0,ROUND(T244*(1+'Your debts'!$D$8/1200),2))</f>
        <v/>
      </c>
      <c r="Q245" s="33">
        <f>IF(P245&lt;=0,0,MIN('Your debts'!$E$8,P245))</f>
        <v/>
      </c>
      <c r="R245" s="33">
        <f>P245-Q245</f>
        <v/>
      </c>
      <c r="S245" s="33">
        <f>IF('Your debts'!$F$8="",0,MIN(R245,MAX(0,MAX(0,'Your debts'!$C$19-(G245+L245+Q245+V245+AA245+AF245+AK245+AP245+AU245+AZ245))-(IF(AND('Your debts'!$F$6&lt;&gt;"",'Your debts'!$F$8&lt;&gt;"",'Your debts'!$F$6&lt;'Your debts'!$F$8),H245,0)+IF(AND('Your debts'!$F$7&lt;&gt;"",'Your debts'!$F$8&lt;&gt;"",'Your debts'!$F$7&lt;'Your debts'!$F$8),M245,0)+IF(AND('Your debts'!$F$9&lt;&gt;"",'Your debts'!$F$8&lt;&gt;"",'Your debts'!$F$9&lt;'Your debts'!$F$8),W245,0)+IF(AND('Your debts'!$F$10&lt;&gt;"",'Your debts'!$F$8&lt;&gt;"",'Your debts'!$F$10&lt;'Your debts'!$F$8),AB245,0)+IF(AND('Your debts'!$F$11&lt;&gt;"",'Your debts'!$F$8&lt;&gt;"",'Your debts'!$F$11&lt;'Your debts'!$F$8),AG245,0)+IF(AND('Your debts'!$F$12&lt;&gt;"",'Your debts'!$F$8&lt;&gt;"",'Your debts'!$F$12&lt;'Your debts'!$F$8),AL245,0)+IF(AND('Your debts'!$F$13&lt;&gt;"",'Your debts'!$F$8&lt;&gt;"",'Your debts'!$F$13&lt;'Your debts'!$F$8),AQ245,0)+IF(AND('Your debts'!$F$14&lt;&gt;"",'Your debts'!$F$8&lt;&gt;"",'Your debts'!$F$14&lt;'Your debts'!$F$8),AV245,0)+IF(AND('Your debts'!$F$15&lt;&gt;"",'Your debts'!$F$8&lt;&gt;"",'Your debts'!$F$15&lt;'Your debts'!$F$8),BA245,0)))))</f>
        <v/>
      </c>
      <c r="T245" s="33">
        <f>R245-S245</f>
        <v/>
      </c>
      <c r="U245" s="33">
        <f>IF(Y244&lt;=0,0,ROUND(Y244*(1+'Your debts'!$D$9/1200),2))</f>
        <v/>
      </c>
      <c r="V245" s="33">
        <f>IF(U245&lt;=0,0,MIN('Your debts'!$E$9,U245))</f>
        <v/>
      </c>
      <c r="W245" s="33">
        <f>U245-V245</f>
        <v/>
      </c>
      <c r="X245" s="33">
        <f>IF('Your debts'!$F$9="",0,MIN(W245,MAX(0,MAX(0,'Your debts'!$C$19-(G245+L245+Q245+V245+AA245+AF245+AK245+AP245+AU245+AZ245))-(IF(AND('Your debts'!$F$6&lt;&gt;"",'Your debts'!$F$9&lt;&gt;"",'Your debts'!$F$6&lt;'Your debts'!$F$9),H245,0)+IF(AND('Your debts'!$F$7&lt;&gt;"",'Your debts'!$F$9&lt;&gt;"",'Your debts'!$F$7&lt;'Your debts'!$F$9),M245,0)+IF(AND('Your debts'!$F$8&lt;&gt;"",'Your debts'!$F$9&lt;&gt;"",'Your debts'!$F$8&lt;'Your debts'!$F$9),R245,0)+IF(AND('Your debts'!$F$10&lt;&gt;"",'Your debts'!$F$9&lt;&gt;"",'Your debts'!$F$10&lt;'Your debts'!$F$9),AB245,0)+IF(AND('Your debts'!$F$11&lt;&gt;"",'Your debts'!$F$9&lt;&gt;"",'Your debts'!$F$11&lt;'Your debts'!$F$9),AG245,0)+IF(AND('Your debts'!$F$12&lt;&gt;"",'Your debts'!$F$9&lt;&gt;"",'Your debts'!$F$12&lt;'Your debts'!$F$9),AL245,0)+IF(AND('Your debts'!$F$13&lt;&gt;"",'Your debts'!$F$9&lt;&gt;"",'Your debts'!$F$13&lt;'Your debts'!$F$9),AQ245,0)+IF(AND('Your debts'!$F$14&lt;&gt;"",'Your debts'!$F$9&lt;&gt;"",'Your debts'!$F$14&lt;'Your debts'!$F$9),AV245,0)+IF(AND('Your debts'!$F$15&lt;&gt;"",'Your debts'!$F$9&lt;&gt;"",'Your debts'!$F$15&lt;'Your debts'!$F$9),BA245,0)))))</f>
        <v/>
      </c>
      <c r="Y245" s="33">
        <f>W245-X245</f>
        <v/>
      </c>
      <c r="Z245" s="33">
        <f>IF(AD244&lt;=0,0,ROUND(AD244*(1+'Your debts'!$D$10/1200),2))</f>
        <v/>
      </c>
      <c r="AA245" s="33">
        <f>IF(Z245&lt;=0,0,MIN('Your debts'!$E$10,Z245))</f>
        <v/>
      </c>
      <c r="AB245" s="33">
        <f>Z245-AA245</f>
        <v/>
      </c>
      <c r="AC245" s="33">
        <f>IF('Your debts'!$F$10="",0,MIN(AB245,MAX(0,MAX(0,'Your debts'!$C$19-(G245+L245+Q245+V245+AA245+AF245+AK245+AP245+AU245+AZ245))-(IF(AND('Your debts'!$F$6&lt;&gt;"",'Your debts'!$F$10&lt;&gt;"",'Your debts'!$F$6&lt;'Your debts'!$F$10),H245,0)+IF(AND('Your debts'!$F$7&lt;&gt;"",'Your debts'!$F$10&lt;&gt;"",'Your debts'!$F$7&lt;'Your debts'!$F$10),M245,0)+IF(AND('Your debts'!$F$8&lt;&gt;"",'Your debts'!$F$10&lt;&gt;"",'Your debts'!$F$8&lt;'Your debts'!$F$10),R245,0)+IF(AND('Your debts'!$F$9&lt;&gt;"",'Your debts'!$F$10&lt;&gt;"",'Your debts'!$F$9&lt;'Your debts'!$F$10),W245,0)+IF(AND('Your debts'!$F$11&lt;&gt;"",'Your debts'!$F$10&lt;&gt;"",'Your debts'!$F$11&lt;'Your debts'!$F$10),AG245,0)+IF(AND('Your debts'!$F$12&lt;&gt;"",'Your debts'!$F$10&lt;&gt;"",'Your debts'!$F$12&lt;'Your debts'!$F$10),AL245,0)+IF(AND('Your debts'!$F$13&lt;&gt;"",'Your debts'!$F$10&lt;&gt;"",'Your debts'!$F$13&lt;'Your debts'!$F$10),AQ245,0)+IF(AND('Your debts'!$F$14&lt;&gt;"",'Your debts'!$F$10&lt;&gt;"",'Your debts'!$F$14&lt;'Your debts'!$F$10),AV245,0)+IF(AND('Your debts'!$F$15&lt;&gt;"",'Your debts'!$F$10&lt;&gt;"",'Your debts'!$F$15&lt;'Your debts'!$F$10),BA245,0)))))</f>
        <v/>
      </c>
      <c r="AD245" s="33">
        <f>AB245-AC245</f>
        <v/>
      </c>
      <c r="AE245" s="33">
        <f>IF(AI244&lt;=0,0,ROUND(AI244*(1+'Your debts'!$D$11/1200),2))</f>
        <v/>
      </c>
      <c r="AF245" s="33">
        <f>IF(AE245&lt;=0,0,MIN('Your debts'!$E$11,AE245))</f>
        <v/>
      </c>
      <c r="AG245" s="33">
        <f>AE245-AF245</f>
        <v/>
      </c>
      <c r="AH245" s="33">
        <f>IF('Your debts'!$F$11="",0,MIN(AG245,MAX(0,MAX(0,'Your debts'!$C$19-(G245+L245+Q245+V245+AA245+AF245+AK245+AP245+AU245+AZ245))-(IF(AND('Your debts'!$F$6&lt;&gt;"",'Your debts'!$F$11&lt;&gt;"",'Your debts'!$F$6&lt;'Your debts'!$F$11),H245,0)+IF(AND('Your debts'!$F$7&lt;&gt;"",'Your debts'!$F$11&lt;&gt;"",'Your debts'!$F$7&lt;'Your debts'!$F$11),M245,0)+IF(AND('Your debts'!$F$8&lt;&gt;"",'Your debts'!$F$11&lt;&gt;"",'Your debts'!$F$8&lt;'Your debts'!$F$11),R245,0)+IF(AND('Your debts'!$F$9&lt;&gt;"",'Your debts'!$F$11&lt;&gt;"",'Your debts'!$F$9&lt;'Your debts'!$F$11),W245,0)+IF(AND('Your debts'!$F$10&lt;&gt;"",'Your debts'!$F$11&lt;&gt;"",'Your debts'!$F$10&lt;'Your debts'!$F$11),AB245,0)+IF(AND('Your debts'!$F$12&lt;&gt;"",'Your debts'!$F$11&lt;&gt;"",'Your debts'!$F$12&lt;'Your debts'!$F$11),AL245,0)+IF(AND('Your debts'!$F$13&lt;&gt;"",'Your debts'!$F$11&lt;&gt;"",'Your debts'!$F$13&lt;'Your debts'!$F$11),AQ245,0)+IF(AND('Your debts'!$F$14&lt;&gt;"",'Your debts'!$F$11&lt;&gt;"",'Your debts'!$F$14&lt;'Your debts'!$F$11),AV245,0)+IF(AND('Your debts'!$F$15&lt;&gt;"",'Your debts'!$F$11&lt;&gt;"",'Your debts'!$F$15&lt;'Your debts'!$F$11),BA245,0)))))</f>
        <v/>
      </c>
      <c r="AI245" s="33">
        <f>AG245-AH245</f>
        <v/>
      </c>
      <c r="AJ245" s="33">
        <f>IF(AN244&lt;=0,0,ROUND(AN244*(1+'Your debts'!$D$12/1200),2))</f>
        <v/>
      </c>
      <c r="AK245" s="33">
        <f>IF(AJ245&lt;=0,0,MIN('Your debts'!$E$12,AJ245))</f>
        <v/>
      </c>
      <c r="AL245" s="33">
        <f>AJ245-AK245</f>
        <v/>
      </c>
      <c r="AM245" s="33">
        <f>IF('Your debts'!$F$12="",0,MIN(AL245,MAX(0,MAX(0,'Your debts'!$C$19-(G245+L245+Q245+V245+AA245+AF245+AK245+AP245+AU245+AZ245))-(IF(AND('Your debts'!$F$6&lt;&gt;"",'Your debts'!$F$12&lt;&gt;"",'Your debts'!$F$6&lt;'Your debts'!$F$12),H245,0)+IF(AND('Your debts'!$F$7&lt;&gt;"",'Your debts'!$F$12&lt;&gt;"",'Your debts'!$F$7&lt;'Your debts'!$F$12),M245,0)+IF(AND('Your debts'!$F$8&lt;&gt;"",'Your debts'!$F$12&lt;&gt;"",'Your debts'!$F$8&lt;'Your debts'!$F$12),R245,0)+IF(AND('Your debts'!$F$9&lt;&gt;"",'Your debts'!$F$12&lt;&gt;"",'Your debts'!$F$9&lt;'Your debts'!$F$12),W245,0)+IF(AND('Your debts'!$F$10&lt;&gt;"",'Your debts'!$F$12&lt;&gt;"",'Your debts'!$F$10&lt;'Your debts'!$F$12),AB245,0)+IF(AND('Your debts'!$F$11&lt;&gt;"",'Your debts'!$F$12&lt;&gt;"",'Your debts'!$F$11&lt;'Your debts'!$F$12),AG245,0)+IF(AND('Your debts'!$F$13&lt;&gt;"",'Your debts'!$F$12&lt;&gt;"",'Your debts'!$F$13&lt;'Your debts'!$F$12),AQ245,0)+IF(AND('Your debts'!$F$14&lt;&gt;"",'Your debts'!$F$12&lt;&gt;"",'Your debts'!$F$14&lt;'Your debts'!$F$12),AV245,0)+IF(AND('Your debts'!$F$15&lt;&gt;"",'Your debts'!$F$12&lt;&gt;"",'Your debts'!$F$15&lt;'Your debts'!$F$12),BA245,0)))))</f>
        <v/>
      </c>
      <c r="AN245" s="33">
        <f>AL245-AM245</f>
        <v/>
      </c>
      <c r="AO245" s="33">
        <f>IF(AS244&lt;=0,0,ROUND(AS244*(1+'Your debts'!$D$13/1200),2))</f>
        <v/>
      </c>
      <c r="AP245" s="33">
        <f>IF(AO245&lt;=0,0,MIN('Your debts'!$E$13,AO245))</f>
        <v/>
      </c>
      <c r="AQ245" s="33">
        <f>AO245-AP245</f>
        <v/>
      </c>
      <c r="AR245" s="33">
        <f>IF('Your debts'!$F$13="",0,MIN(AQ245,MAX(0,MAX(0,'Your debts'!$C$19-(G245+L245+Q245+V245+AA245+AF245+AK245+AP245+AU245+AZ245))-(IF(AND('Your debts'!$F$6&lt;&gt;"",'Your debts'!$F$13&lt;&gt;"",'Your debts'!$F$6&lt;'Your debts'!$F$13),H245,0)+IF(AND('Your debts'!$F$7&lt;&gt;"",'Your debts'!$F$13&lt;&gt;"",'Your debts'!$F$7&lt;'Your debts'!$F$13),M245,0)+IF(AND('Your debts'!$F$8&lt;&gt;"",'Your debts'!$F$13&lt;&gt;"",'Your debts'!$F$8&lt;'Your debts'!$F$13),R245,0)+IF(AND('Your debts'!$F$9&lt;&gt;"",'Your debts'!$F$13&lt;&gt;"",'Your debts'!$F$9&lt;'Your debts'!$F$13),W245,0)+IF(AND('Your debts'!$F$10&lt;&gt;"",'Your debts'!$F$13&lt;&gt;"",'Your debts'!$F$10&lt;'Your debts'!$F$13),AB245,0)+IF(AND('Your debts'!$F$11&lt;&gt;"",'Your debts'!$F$13&lt;&gt;"",'Your debts'!$F$11&lt;'Your debts'!$F$13),AG245,0)+IF(AND('Your debts'!$F$12&lt;&gt;"",'Your debts'!$F$13&lt;&gt;"",'Your debts'!$F$12&lt;'Your debts'!$F$13),AL245,0)+IF(AND('Your debts'!$F$14&lt;&gt;"",'Your debts'!$F$13&lt;&gt;"",'Your debts'!$F$14&lt;'Your debts'!$F$13),AV245,0)+IF(AND('Your debts'!$F$15&lt;&gt;"",'Your debts'!$F$13&lt;&gt;"",'Your debts'!$F$15&lt;'Your debts'!$F$13),BA245,0)))))</f>
        <v/>
      </c>
      <c r="AS245" s="33">
        <f>AQ245-AR245</f>
        <v/>
      </c>
      <c r="AT245" s="33">
        <f>IF(AX244&lt;=0,0,ROUND(AX244*(1+'Your debts'!$D$14/1200),2))</f>
        <v/>
      </c>
      <c r="AU245" s="33">
        <f>IF(AT245&lt;=0,0,MIN('Your debts'!$E$14,AT245))</f>
        <v/>
      </c>
      <c r="AV245" s="33">
        <f>AT245-AU245</f>
        <v/>
      </c>
      <c r="AW245" s="33">
        <f>IF('Your debts'!$F$14="",0,MIN(AV245,MAX(0,MAX(0,'Your debts'!$C$19-(G245+L245+Q245+V245+AA245+AF245+AK245+AP245+AU245+AZ245))-(IF(AND('Your debts'!$F$6&lt;&gt;"",'Your debts'!$F$14&lt;&gt;"",'Your debts'!$F$6&lt;'Your debts'!$F$14),H245,0)+IF(AND('Your debts'!$F$7&lt;&gt;"",'Your debts'!$F$14&lt;&gt;"",'Your debts'!$F$7&lt;'Your debts'!$F$14),M245,0)+IF(AND('Your debts'!$F$8&lt;&gt;"",'Your debts'!$F$14&lt;&gt;"",'Your debts'!$F$8&lt;'Your debts'!$F$14),R245,0)+IF(AND('Your debts'!$F$9&lt;&gt;"",'Your debts'!$F$14&lt;&gt;"",'Your debts'!$F$9&lt;'Your debts'!$F$14),W245,0)+IF(AND('Your debts'!$F$10&lt;&gt;"",'Your debts'!$F$14&lt;&gt;"",'Your debts'!$F$10&lt;'Your debts'!$F$14),AB245,0)+IF(AND('Your debts'!$F$11&lt;&gt;"",'Your debts'!$F$14&lt;&gt;"",'Your debts'!$F$11&lt;'Your debts'!$F$14),AG245,0)+IF(AND('Your debts'!$F$12&lt;&gt;"",'Your debts'!$F$14&lt;&gt;"",'Your debts'!$F$12&lt;'Your debts'!$F$14),AL245,0)+IF(AND('Your debts'!$F$13&lt;&gt;"",'Your debts'!$F$14&lt;&gt;"",'Your debts'!$F$13&lt;'Your debts'!$F$14),AQ245,0)+IF(AND('Your debts'!$F$15&lt;&gt;"",'Your debts'!$F$14&lt;&gt;"",'Your debts'!$F$15&lt;'Your debts'!$F$14),BA245,0)))))</f>
        <v/>
      </c>
      <c r="AX245" s="33">
        <f>AV245-AW245</f>
        <v/>
      </c>
      <c r="AY245" s="33">
        <f>IF(BC244&lt;=0,0,ROUND(BC244*(1+'Your debts'!$D$15/1200),2))</f>
        <v/>
      </c>
      <c r="AZ245" s="33">
        <f>IF(AY245&lt;=0,0,MIN('Your debts'!$E$15,AY245))</f>
        <v/>
      </c>
      <c r="BA245" s="33">
        <f>AY245-AZ245</f>
        <v/>
      </c>
      <c r="BB245" s="33">
        <f>IF('Your debts'!$F$15="",0,MIN(BA245,MAX(0,MAX(0,'Your debts'!$C$19-(G245+L245+Q245+V245+AA245+AF245+AK245+AP245+AU245+AZ245))-(IF(AND('Your debts'!$F$6&lt;&gt;"",'Your debts'!$F$15&lt;&gt;"",'Your debts'!$F$6&lt;'Your debts'!$F$15),H245,0)+IF(AND('Your debts'!$F$7&lt;&gt;"",'Your debts'!$F$15&lt;&gt;"",'Your debts'!$F$7&lt;'Your debts'!$F$15),M245,0)+IF(AND('Your debts'!$F$8&lt;&gt;"",'Your debts'!$F$15&lt;&gt;"",'Your debts'!$F$8&lt;'Your debts'!$F$15),R245,0)+IF(AND('Your debts'!$F$9&lt;&gt;"",'Your debts'!$F$15&lt;&gt;"",'Your debts'!$F$9&lt;'Your debts'!$F$15),W245,0)+IF(AND('Your debts'!$F$10&lt;&gt;"",'Your debts'!$F$15&lt;&gt;"",'Your debts'!$F$10&lt;'Your debts'!$F$15),AB245,0)+IF(AND('Your debts'!$F$11&lt;&gt;"",'Your debts'!$F$15&lt;&gt;"",'Your debts'!$F$11&lt;'Your debts'!$F$15),AG245,0)+IF(AND('Your debts'!$F$12&lt;&gt;"",'Your debts'!$F$15&lt;&gt;"",'Your debts'!$F$12&lt;'Your debts'!$F$15),AL245,0)+IF(AND('Your debts'!$F$13&lt;&gt;"",'Your debts'!$F$15&lt;&gt;"",'Your debts'!$F$13&lt;'Your debts'!$F$15),AQ245,0)+IF(AND('Your debts'!$F$14&lt;&gt;"",'Your debts'!$F$15&lt;&gt;"",'Your debts'!$F$14&lt;'Your debts'!$F$15),AV245,0)))))</f>
        <v/>
      </c>
      <c r="BC245" s="33">
        <f>BA245-BB245</f>
        <v/>
      </c>
    </row>
    <row r="246">
      <c r="A246" s="30" t="n">
        <v>231</v>
      </c>
      <c r="B246" s="31">
        <f>EDATE($B$15,231)</f>
        <v/>
      </c>
      <c r="C246" s="32">
        <f>IF(J245&lt;=0,0,F246-J245)+IF(O245&lt;=0,0,K246-O245)+IF(T245&lt;=0,0,P246-T245)+IF(Y245&lt;=0,0,U246-Y245)+IF(AD245&lt;=0,0,Z246-AD245)+IF(AI245&lt;=0,0,AE246-AI245)+IF(AN245&lt;=0,0,AJ246-AN245)+IF(AS245&lt;=0,0,AO246-AS245)+IF(AX245&lt;=0,0,AT246-AX245)+IF(BC245&lt;=0,0,AY246-BC245)</f>
        <v/>
      </c>
      <c r="D246" s="32">
        <f>G246+I246+L246+N246+Q246+S246+V246+X246+AA246+AC246+AF246+AH246+AK246+AM246+AP246+AR246+AU246+AW246+AZ246+BB246</f>
        <v/>
      </c>
      <c r="E246" s="32">
        <f>J246+O246+T246+Y246+AD246+AI246+AN246+AS246+AX246+BC246</f>
        <v/>
      </c>
      <c r="F246" s="33">
        <f>IF(J245&lt;=0,0,ROUND(J245*(1+'Your debts'!$D$6/1200),2))</f>
        <v/>
      </c>
      <c r="G246" s="33">
        <f>IF(F246&lt;=0,0,MIN('Your debts'!$E$6,F246))</f>
        <v/>
      </c>
      <c r="H246" s="33">
        <f>F246-G246</f>
        <v/>
      </c>
      <c r="I246" s="33">
        <f>IF('Your debts'!$F$6="",0,MIN(H246,MAX(0,MAX(0,'Your debts'!$C$19-(G246+L246+Q246+V246+AA246+AF246+AK246+AP246+AU246+AZ246))-(IF(AND('Your debts'!$F$7&lt;&gt;"",'Your debts'!$F$6&lt;&gt;"",'Your debts'!$F$7&lt;'Your debts'!$F$6),M246,0)+IF(AND('Your debts'!$F$8&lt;&gt;"",'Your debts'!$F$6&lt;&gt;"",'Your debts'!$F$8&lt;'Your debts'!$F$6),R246,0)+IF(AND('Your debts'!$F$9&lt;&gt;"",'Your debts'!$F$6&lt;&gt;"",'Your debts'!$F$9&lt;'Your debts'!$F$6),W246,0)+IF(AND('Your debts'!$F$10&lt;&gt;"",'Your debts'!$F$6&lt;&gt;"",'Your debts'!$F$10&lt;'Your debts'!$F$6),AB246,0)+IF(AND('Your debts'!$F$11&lt;&gt;"",'Your debts'!$F$6&lt;&gt;"",'Your debts'!$F$11&lt;'Your debts'!$F$6),AG246,0)+IF(AND('Your debts'!$F$12&lt;&gt;"",'Your debts'!$F$6&lt;&gt;"",'Your debts'!$F$12&lt;'Your debts'!$F$6),AL246,0)+IF(AND('Your debts'!$F$13&lt;&gt;"",'Your debts'!$F$6&lt;&gt;"",'Your debts'!$F$13&lt;'Your debts'!$F$6),AQ246,0)+IF(AND('Your debts'!$F$14&lt;&gt;"",'Your debts'!$F$6&lt;&gt;"",'Your debts'!$F$14&lt;'Your debts'!$F$6),AV246,0)+IF(AND('Your debts'!$F$15&lt;&gt;"",'Your debts'!$F$6&lt;&gt;"",'Your debts'!$F$15&lt;'Your debts'!$F$6),BA246,0)))))</f>
        <v/>
      </c>
      <c r="J246" s="33">
        <f>H246-I246</f>
        <v/>
      </c>
      <c r="K246" s="33">
        <f>IF(O245&lt;=0,0,ROUND(O245*(1+'Your debts'!$D$7/1200),2))</f>
        <v/>
      </c>
      <c r="L246" s="33">
        <f>IF(K246&lt;=0,0,MIN('Your debts'!$E$7,K246))</f>
        <v/>
      </c>
      <c r="M246" s="33">
        <f>K246-L246</f>
        <v/>
      </c>
      <c r="N246" s="33">
        <f>IF('Your debts'!$F$7="",0,MIN(M246,MAX(0,MAX(0,'Your debts'!$C$19-(G246+L246+Q246+V246+AA246+AF246+AK246+AP246+AU246+AZ246))-(IF(AND('Your debts'!$F$6&lt;&gt;"",'Your debts'!$F$7&lt;&gt;"",'Your debts'!$F$6&lt;'Your debts'!$F$7),H246,0)+IF(AND('Your debts'!$F$8&lt;&gt;"",'Your debts'!$F$7&lt;&gt;"",'Your debts'!$F$8&lt;'Your debts'!$F$7),R246,0)+IF(AND('Your debts'!$F$9&lt;&gt;"",'Your debts'!$F$7&lt;&gt;"",'Your debts'!$F$9&lt;'Your debts'!$F$7),W246,0)+IF(AND('Your debts'!$F$10&lt;&gt;"",'Your debts'!$F$7&lt;&gt;"",'Your debts'!$F$10&lt;'Your debts'!$F$7),AB246,0)+IF(AND('Your debts'!$F$11&lt;&gt;"",'Your debts'!$F$7&lt;&gt;"",'Your debts'!$F$11&lt;'Your debts'!$F$7),AG246,0)+IF(AND('Your debts'!$F$12&lt;&gt;"",'Your debts'!$F$7&lt;&gt;"",'Your debts'!$F$12&lt;'Your debts'!$F$7),AL246,0)+IF(AND('Your debts'!$F$13&lt;&gt;"",'Your debts'!$F$7&lt;&gt;"",'Your debts'!$F$13&lt;'Your debts'!$F$7),AQ246,0)+IF(AND('Your debts'!$F$14&lt;&gt;"",'Your debts'!$F$7&lt;&gt;"",'Your debts'!$F$14&lt;'Your debts'!$F$7),AV246,0)+IF(AND('Your debts'!$F$15&lt;&gt;"",'Your debts'!$F$7&lt;&gt;"",'Your debts'!$F$15&lt;'Your debts'!$F$7),BA246,0)))))</f>
        <v/>
      </c>
      <c r="O246" s="33">
        <f>M246-N246</f>
        <v/>
      </c>
      <c r="P246" s="33">
        <f>IF(T245&lt;=0,0,ROUND(T245*(1+'Your debts'!$D$8/1200),2))</f>
        <v/>
      </c>
      <c r="Q246" s="33">
        <f>IF(P246&lt;=0,0,MIN('Your debts'!$E$8,P246))</f>
        <v/>
      </c>
      <c r="R246" s="33">
        <f>P246-Q246</f>
        <v/>
      </c>
      <c r="S246" s="33">
        <f>IF('Your debts'!$F$8="",0,MIN(R246,MAX(0,MAX(0,'Your debts'!$C$19-(G246+L246+Q246+V246+AA246+AF246+AK246+AP246+AU246+AZ246))-(IF(AND('Your debts'!$F$6&lt;&gt;"",'Your debts'!$F$8&lt;&gt;"",'Your debts'!$F$6&lt;'Your debts'!$F$8),H246,0)+IF(AND('Your debts'!$F$7&lt;&gt;"",'Your debts'!$F$8&lt;&gt;"",'Your debts'!$F$7&lt;'Your debts'!$F$8),M246,0)+IF(AND('Your debts'!$F$9&lt;&gt;"",'Your debts'!$F$8&lt;&gt;"",'Your debts'!$F$9&lt;'Your debts'!$F$8),W246,0)+IF(AND('Your debts'!$F$10&lt;&gt;"",'Your debts'!$F$8&lt;&gt;"",'Your debts'!$F$10&lt;'Your debts'!$F$8),AB246,0)+IF(AND('Your debts'!$F$11&lt;&gt;"",'Your debts'!$F$8&lt;&gt;"",'Your debts'!$F$11&lt;'Your debts'!$F$8),AG246,0)+IF(AND('Your debts'!$F$12&lt;&gt;"",'Your debts'!$F$8&lt;&gt;"",'Your debts'!$F$12&lt;'Your debts'!$F$8),AL246,0)+IF(AND('Your debts'!$F$13&lt;&gt;"",'Your debts'!$F$8&lt;&gt;"",'Your debts'!$F$13&lt;'Your debts'!$F$8),AQ246,0)+IF(AND('Your debts'!$F$14&lt;&gt;"",'Your debts'!$F$8&lt;&gt;"",'Your debts'!$F$14&lt;'Your debts'!$F$8),AV246,0)+IF(AND('Your debts'!$F$15&lt;&gt;"",'Your debts'!$F$8&lt;&gt;"",'Your debts'!$F$15&lt;'Your debts'!$F$8),BA246,0)))))</f>
        <v/>
      </c>
      <c r="T246" s="33">
        <f>R246-S246</f>
        <v/>
      </c>
      <c r="U246" s="33">
        <f>IF(Y245&lt;=0,0,ROUND(Y245*(1+'Your debts'!$D$9/1200),2))</f>
        <v/>
      </c>
      <c r="V246" s="33">
        <f>IF(U246&lt;=0,0,MIN('Your debts'!$E$9,U246))</f>
        <v/>
      </c>
      <c r="W246" s="33">
        <f>U246-V246</f>
        <v/>
      </c>
      <c r="X246" s="33">
        <f>IF('Your debts'!$F$9="",0,MIN(W246,MAX(0,MAX(0,'Your debts'!$C$19-(G246+L246+Q246+V246+AA246+AF246+AK246+AP246+AU246+AZ246))-(IF(AND('Your debts'!$F$6&lt;&gt;"",'Your debts'!$F$9&lt;&gt;"",'Your debts'!$F$6&lt;'Your debts'!$F$9),H246,0)+IF(AND('Your debts'!$F$7&lt;&gt;"",'Your debts'!$F$9&lt;&gt;"",'Your debts'!$F$7&lt;'Your debts'!$F$9),M246,0)+IF(AND('Your debts'!$F$8&lt;&gt;"",'Your debts'!$F$9&lt;&gt;"",'Your debts'!$F$8&lt;'Your debts'!$F$9),R246,0)+IF(AND('Your debts'!$F$10&lt;&gt;"",'Your debts'!$F$9&lt;&gt;"",'Your debts'!$F$10&lt;'Your debts'!$F$9),AB246,0)+IF(AND('Your debts'!$F$11&lt;&gt;"",'Your debts'!$F$9&lt;&gt;"",'Your debts'!$F$11&lt;'Your debts'!$F$9),AG246,0)+IF(AND('Your debts'!$F$12&lt;&gt;"",'Your debts'!$F$9&lt;&gt;"",'Your debts'!$F$12&lt;'Your debts'!$F$9),AL246,0)+IF(AND('Your debts'!$F$13&lt;&gt;"",'Your debts'!$F$9&lt;&gt;"",'Your debts'!$F$13&lt;'Your debts'!$F$9),AQ246,0)+IF(AND('Your debts'!$F$14&lt;&gt;"",'Your debts'!$F$9&lt;&gt;"",'Your debts'!$F$14&lt;'Your debts'!$F$9),AV246,0)+IF(AND('Your debts'!$F$15&lt;&gt;"",'Your debts'!$F$9&lt;&gt;"",'Your debts'!$F$15&lt;'Your debts'!$F$9),BA246,0)))))</f>
        <v/>
      </c>
      <c r="Y246" s="33">
        <f>W246-X246</f>
        <v/>
      </c>
      <c r="Z246" s="33">
        <f>IF(AD245&lt;=0,0,ROUND(AD245*(1+'Your debts'!$D$10/1200),2))</f>
        <v/>
      </c>
      <c r="AA246" s="33">
        <f>IF(Z246&lt;=0,0,MIN('Your debts'!$E$10,Z246))</f>
        <v/>
      </c>
      <c r="AB246" s="33">
        <f>Z246-AA246</f>
        <v/>
      </c>
      <c r="AC246" s="33">
        <f>IF('Your debts'!$F$10="",0,MIN(AB246,MAX(0,MAX(0,'Your debts'!$C$19-(G246+L246+Q246+V246+AA246+AF246+AK246+AP246+AU246+AZ246))-(IF(AND('Your debts'!$F$6&lt;&gt;"",'Your debts'!$F$10&lt;&gt;"",'Your debts'!$F$6&lt;'Your debts'!$F$10),H246,0)+IF(AND('Your debts'!$F$7&lt;&gt;"",'Your debts'!$F$10&lt;&gt;"",'Your debts'!$F$7&lt;'Your debts'!$F$10),M246,0)+IF(AND('Your debts'!$F$8&lt;&gt;"",'Your debts'!$F$10&lt;&gt;"",'Your debts'!$F$8&lt;'Your debts'!$F$10),R246,0)+IF(AND('Your debts'!$F$9&lt;&gt;"",'Your debts'!$F$10&lt;&gt;"",'Your debts'!$F$9&lt;'Your debts'!$F$10),W246,0)+IF(AND('Your debts'!$F$11&lt;&gt;"",'Your debts'!$F$10&lt;&gt;"",'Your debts'!$F$11&lt;'Your debts'!$F$10),AG246,0)+IF(AND('Your debts'!$F$12&lt;&gt;"",'Your debts'!$F$10&lt;&gt;"",'Your debts'!$F$12&lt;'Your debts'!$F$10),AL246,0)+IF(AND('Your debts'!$F$13&lt;&gt;"",'Your debts'!$F$10&lt;&gt;"",'Your debts'!$F$13&lt;'Your debts'!$F$10),AQ246,0)+IF(AND('Your debts'!$F$14&lt;&gt;"",'Your debts'!$F$10&lt;&gt;"",'Your debts'!$F$14&lt;'Your debts'!$F$10),AV246,0)+IF(AND('Your debts'!$F$15&lt;&gt;"",'Your debts'!$F$10&lt;&gt;"",'Your debts'!$F$15&lt;'Your debts'!$F$10),BA246,0)))))</f>
        <v/>
      </c>
      <c r="AD246" s="33">
        <f>AB246-AC246</f>
        <v/>
      </c>
      <c r="AE246" s="33">
        <f>IF(AI245&lt;=0,0,ROUND(AI245*(1+'Your debts'!$D$11/1200),2))</f>
        <v/>
      </c>
      <c r="AF246" s="33">
        <f>IF(AE246&lt;=0,0,MIN('Your debts'!$E$11,AE246))</f>
        <v/>
      </c>
      <c r="AG246" s="33">
        <f>AE246-AF246</f>
        <v/>
      </c>
      <c r="AH246" s="33">
        <f>IF('Your debts'!$F$11="",0,MIN(AG246,MAX(0,MAX(0,'Your debts'!$C$19-(G246+L246+Q246+V246+AA246+AF246+AK246+AP246+AU246+AZ246))-(IF(AND('Your debts'!$F$6&lt;&gt;"",'Your debts'!$F$11&lt;&gt;"",'Your debts'!$F$6&lt;'Your debts'!$F$11),H246,0)+IF(AND('Your debts'!$F$7&lt;&gt;"",'Your debts'!$F$11&lt;&gt;"",'Your debts'!$F$7&lt;'Your debts'!$F$11),M246,0)+IF(AND('Your debts'!$F$8&lt;&gt;"",'Your debts'!$F$11&lt;&gt;"",'Your debts'!$F$8&lt;'Your debts'!$F$11),R246,0)+IF(AND('Your debts'!$F$9&lt;&gt;"",'Your debts'!$F$11&lt;&gt;"",'Your debts'!$F$9&lt;'Your debts'!$F$11),W246,0)+IF(AND('Your debts'!$F$10&lt;&gt;"",'Your debts'!$F$11&lt;&gt;"",'Your debts'!$F$10&lt;'Your debts'!$F$11),AB246,0)+IF(AND('Your debts'!$F$12&lt;&gt;"",'Your debts'!$F$11&lt;&gt;"",'Your debts'!$F$12&lt;'Your debts'!$F$11),AL246,0)+IF(AND('Your debts'!$F$13&lt;&gt;"",'Your debts'!$F$11&lt;&gt;"",'Your debts'!$F$13&lt;'Your debts'!$F$11),AQ246,0)+IF(AND('Your debts'!$F$14&lt;&gt;"",'Your debts'!$F$11&lt;&gt;"",'Your debts'!$F$14&lt;'Your debts'!$F$11),AV246,0)+IF(AND('Your debts'!$F$15&lt;&gt;"",'Your debts'!$F$11&lt;&gt;"",'Your debts'!$F$15&lt;'Your debts'!$F$11),BA246,0)))))</f>
        <v/>
      </c>
      <c r="AI246" s="33">
        <f>AG246-AH246</f>
        <v/>
      </c>
      <c r="AJ246" s="33">
        <f>IF(AN245&lt;=0,0,ROUND(AN245*(1+'Your debts'!$D$12/1200),2))</f>
        <v/>
      </c>
      <c r="AK246" s="33">
        <f>IF(AJ246&lt;=0,0,MIN('Your debts'!$E$12,AJ246))</f>
        <v/>
      </c>
      <c r="AL246" s="33">
        <f>AJ246-AK246</f>
        <v/>
      </c>
      <c r="AM246" s="33">
        <f>IF('Your debts'!$F$12="",0,MIN(AL246,MAX(0,MAX(0,'Your debts'!$C$19-(G246+L246+Q246+V246+AA246+AF246+AK246+AP246+AU246+AZ246))-(IF(AND('Your debts'!$F$6&lt;&gt;"",'Your debts'!$F$12&lt;&gt;"",'Your debts'!$F$6&lt;'Your debts'!$F$12),H246,0)+IF(AND('Your debts'!$F$7&lt;&gt;"",'Your debts'!$F$12&lt;&gt;"",'Your debts'!$F$7&lt;'Your debts'!$F$12),M246,0)+IF(AND('Your debts'!$F$8&lt;&gt;"",'Your debts'!$F$12&lt;&gt;"",'Your debts'!$F$8&lt;'Your debts'!$F$12),R246,0)+IF(AND('Your debts'!$F$9&lt;&gt;"",'Your debts'!$F$12&lt;&gt;"",'Your debts'!$F$9&lt;'Your debts'!$F$12),W246,0)+IF(AND('Your debts'!$F$10&lt;&gt;"",'Your debts'!$F$12&lt;&gt;"",'Your debts'!$F$10&lt;'Your debts'!$F$12),AB246,0)+IF(AND('Your debts'!$F$11&lt;&gt;"",'Your debts'!$F$12&lt;&gt;"",'Your debts'!$F$11&lt;'Your debts'!$F$12),AG246,0)+IF(AND('Your debts'!$F$13&lt;&gt;"",'Your debts'!$F$12&lt;&gt;"",'Your debts'!$F$13&lt;'Your debts'!$F$12),AQ246,0)+IF(AND('Your debts'!$F$14&lt;&gt;"",'Your debts'!$F$12&lt;&gt;"",'Your debts'!$F$14&lt;'Your debts'!$F$12),AV246,0)+IF(AND('Your debts'!$F$15&lt;&gt;"",'Your debts'!$F$12&lt;&gt;"",'Your debts'!$F$15&lt;'Your debts'!$F$12),BA246,0)))))</f>
        <v/>
      </c>
      <c r="AN246" s="33">
        <f>AL246-AM246</f>
        <v/>
      </c>
      <c r="AO246" s="33">
        <f>IF(AS245&lt;=0,0,ROUND(AS245*(1+'Your debts'!$D$13/1200),2))</f>
        <v/>
      </c>
      <c r="AP246" s="33">
        <f>IF(AO246&lt;=0,0,MIN('Your debts'!$E$13,AO246))</f>
        <v/>
      </c>
      <c r="AQ246" s="33">
        <f>AO246-AP246</f>
        <v/>
      </c>
      <c r="AR246" s="33">
        <f>IF('Your debts'!$F$13="",0,MIN(AQ246,MAX(0,MAX(0,'Your debts'!$C$19-(G246+L246+Q246+V246+AA246+AF246+AK246+AP246+AU246+AZ246))-(IF(AND('Your debts'!$F$6&lt;&gt;"",'Your debts'!$F$13&lt;&gt;"",'Your debts'!$F$6&lt;'Your debts'!$F$13),H246,0)+IF(AND('Your debts'!$F$7&lt;&gt;"",'Your debts'!$F$13&lt;&gt;"",'Your debts'!$F$7&lt;'Your debts'!$F$13),M246,0)+IF(AND('Your debts'!$F$8&lt;&gt;"",'Your debts'!$F$13&lt;&gt;"",'Your debts'!$F$8&lt;'Your debts'!$F$13),R246,0)+IF(AND('Your debts'!$F$9&lt;&gt;"",'Your debts'!$F$13&lt;&gt;"",'Your debts'!$F$9&lt;'Your debts'!$F$13),W246,0)+IF(AND('Your debts'!$F$10&lt;&gt;"",'Your debts'!$F$13&lt;&gt;"",'Your debts'!$F$10&lt;'Your debts'!$F$13),AB246,0)+IF(AND('Your debts'!$F$11&lt;&gt;"",'Your debts'!$F$13&lt;&gt;"",'Your debts'!$F$11&lt;'Your debts'!$F$13),AG246,0)+IF(AND('Your debts'!$F$12&lt;&gt;"",'Your debts'!$F$13&lt;&gt;"",'Your debts'!$F$12&lt;'Your debts'!$F$13),AL246,0)+IF(AND('Your debts'!$F$14&lt;&gt;"",'Your debts'!$F$13&lt;&gt;"",'Your debts'!$F$14&lt;'Your debts'!$F$13),AV246,0)+IF(AND('Your debts'!$F$15&lt;&gt;"",'Your debts'!$F$13&lt;&gt;"",'Your debts'!$F$15&lt;'Your debts'!$F$13),BA246,0)))))</f>
        <v/>
      </c>
      <c r="AS246" s="33">
        <f>AQ246-AR246</f>
        <v/>
      </c>
      <c r="AT246" s="33">
        <f>IF(AX245&lt;=0,0,ROUND(AX245*(1+'Your debts'!$D$14/1200),2))</f>
        <v/>
      </c>
      <c r="AU246" s="33">
        <f>IF(AT246&lt;=0,0,MIN('Your debts'!$E$14,AT246))</f>
        <v/>
      </c>
      <c r="AV246" s="33">
        <f>AT246-AU246</f>
        <v/>
      </c>
      <c r="AW246" s="33">
        <f>IF('Your debts'!$F$14="",0,MIN(AV246,MAX(0,MAX(0,'Your debts'!$C$19-(G246+L246+Q246+V246+AA246+AF246+AK246+AP246+AU246+AZ246))-(IF(AND('Your debts'!$F$6&lt;&gt;"",'Your debts'!$F$14&lt;&gt;"",'Your debts'!$F$6&lt;'Your debts'!$F$14),H246,0)+IF(AND('Your debts'!$F$7&lt;&gt;"",'Your debts'!$F$14&lt;&gt;"",'Your debts'!$F$7&lt;'Your debts'!$F$14),M246,0)+IF(AND('Your debts'!$F$8&lt;&gt;"",'Your debts'!$F$14&lt;&gt;"",'Your debts'!$F$8&lt;'Your debts'!$F$14),R246,0)+IF(AND('Your debts'!$F$9&lt;&gt;"",'Your debts'!$F$14&lt;&gt;"",'Your debts'!$F$9&lt;'Your debts'!$F$14),W246,0)+IF(AND('Your debts'!$F$10&lt;&gt;"",'Your debts'!$F$14&lt;&gt;"",'Your debts'!$F$10&lt;'Your debts'!$F$14),AB246,0)+IF(AND('Your debts'!$F$11&lt;&gt;"",'Your debts'!$F$14&lt;&gt;"",'Your debts'!$F$11&lt;'Your debts'!$F$14),AG246,0)+IF(AND('Your debts'!$F$12&lt;&gt;"",'Your debts'!$F$14&lt;&gt;"",'Your debts'!$F$12&lt;'Your debts'!$F$14),AL246,0)+IF(AND('Your debts'!$F$13&lt;&gt;"",'Your debts'!$F$14&lt;&gt;"",'Your debts'!$F$13&lt;'Your debts'!$F$14),AQ246,0)+IF(AND('Your debts'!$F$15&lt;&gt;"",'Your debts'!$F$14&lt;&gt;"",'Your debts'!$F$15&lt;'Your debts'!$F$14),BA246,0)))))</f>
        <v/>
      </c>
      <c r="AX246" s="33">
        <f>AV246-AW246</f>
        <v/>
      </c>
      <c r="AY246" s="33">
        <f>IF(BC245&lt;=0,0,ROUND(BC245*(1+'Your debts'!$D$15/1200),2))</f>
        <v/>
      </c>
      <c r="AZ246" s="33">
        <f>IF(AY246&lt;=0,0,MIN('Your debts'!$E$15,AY246))</f>
        <v/>
      </c>
      <c r="BA246" s="33">
        <f>AY246-AZ246</f>
        <v/>
      </c>
      <c r="BB246" s="33">
        <f>IF('Your debts'!$F$15="",0,MIN(BA246,MAX(0,MAX(0,'Your debts'!$C$19-(G246+L246+Q246+V246+AA246+AF246+AK246+AP246+AU246+AZ246))-(IF(AND('Your debts'!$F$6&lt;&gt;"",'Your debts'!$F$15&lt;&gt;"",'Your debts'!$F$6&lt;'Your debts'!$F$15),H246,0)+IF(AND('Your debts'!$F$7&lt;&gt;"",'Your debts'!$F$15&lt;&gt;"",'Your debts'!$F$7&lt;'Your debts'!$F$15),M246,0)+IF(AND('Your debts'!$F$8&lt;&gt;"",'Your debts'!$F$15&lt;&gt;"",'Your debts'!$F$8&lt;'Your debts'!$F$15),R246,0)+IF(AND('Your debts'!$F$9&lt;&gt;"",'Your debts'!$F$15&lt;&gt;"",'Your debts'!$F$9&lt;'Your debts'!$F$15),W246,0)+IF(AND('Your debts'!$F$10&lt;&gt;"",'Your debts'!$F$15&lt;&gt;"",'Your debts'!$F$10&lt;'Your debts'!$F$15),AB246,0)+IF(AND('Your debts'!$F$11&lt;&gt;"",'Your debts'!$F$15&lt;&gt;"",'Your debts'!$F$11&lt;'Your debts'!$F$15),AG246,0)+IF(AND('Your debts'!$F$12&lt;&gt;"",'Your debts'!$F$15&lt;&gt;"",'Your debts'!$F$12&lt;'Your debts'!$F$15),AL246,0)+IF(AND('Your debts'!$F$13&lt;&gt;"",'Your debts'!$F$15&lt;&gt;"",'Your debts'!$F$13&lt;'Your debts'!$F$15),AQ246,0)+IF(AND('Your debts'!$F$14&lt;&gt;"",'Your debts'!$F$15&lt;&gt;"",'Your debts'!$F$14&lt;'Your debts'!$F$15),AV246,0)))))</f>
        <v/>
      </c>
      <c r="BC246" s="33">
        <f>BA246-BB246</f>
        <v/>
      </c>
    </row>
    <row r="247">
      <c r="A247" s="30" t="n">
        <v>232</v>
      </c>
      <c r="B247" s="31">
        <f>EDATE($B$15,232)</f>
        <v/>
      </c>
      <c r="C247" s="32">
        <f>IF(J246&lt;=0,0,F247-J246)+IF(O246&lt;=0,0,K247-O246)+IF(T246&lt;=0,0,P247-T246)+IF(Y246&lt;=0,0,U247-Y246)+IF(AD246&lt;=0,0,Z247-AD246)+IF(AI246&lt;=0,0,AE247-AI246)+IF(AN246&lt;=0,0,AJ247-AN246)+IF(AS246&lt;=0,0,AO247-AS246)+IF(AX246&lt;=0,0,AT247-AX246)+IF(BC246&lt;=0,0,AY247-BC246)</f>
        <v/>
      </c>
      <c r="D247" s="32">
        <f>G247+I247+L247+N247+Q247+S247+V247+X247+AA247+AC247+AF247+AH247+AK247+AM247+AP247+AR247+AU247+AW247+AZ247+BB247</f>
        <v/>
      </c>
      <c r="E247" s="32">
        <f>J247+O247+T247+Y247+AD247+AI247+AN247+AS247+AX247+BC247</f>
        <v/>
      </c>
      <c r="F247" s="33">
        <f>IF(J246&lt;=0,0,ROUND(J246*(1+'Your debts'!$D$6/1200),2))</f>
        <v/>
      </c>
      <c r="G247" s="33">
        <f>IF(F247&lt;=0,0,MIN('Your debts'!$E$6,F247))</f>
        <v/>
      </c>
      <c r="H247" s="33">
        <f>F247-G247</f>
        <v/>
      </c>
      <c r="I247" s="33">
        <f>IF('Your debts'!$F$6="",0,MIN(H247,MAX(0,MAX(0,'Your debts'!$C$19-(G247+L247+Q247+V247+AA247+AF247+AK247+AP247+AU247+AZ247))-(IF(AND('Your debts'!$F$7&lt;&gt;"",'Your debts'!$F$6&lt;&gt;"",'Your debts'!$F$7&lt;'Your debts'!$F$6),M247,0)+IF(AND('Your debts'!$F$8&lt;&gt;"",'Your debts'!$F$6&lt;&gt;"",'Your debts'!$F$8&lt;'Your debts'!$F$6),R247,0)+IF(AND('Your debts'!$F$9&lt;&gt;"",'Your debts'!$F$6&lt;&gt;"",'Your debts'!$F$9&lt;'Your debts'!$F$6),W247,0)+IF(AND('Your debts'!$F$10&lt;&gt;"",'Your debts'!$F$6&lt;&gt;"",'Your debts'!$F$10&lt;'Your debts'!$F$6),AB247,0)+IF(AND('Your debts'!$F$11&lt;&gt;"",'Your debts'!$F$6&lt;&gt;"",'Your debts'!$F$11&lt;'Your debts'!$F$6),AG247,0)+IF(AND('Your debts'!$F$12&lt;&gt;"",'Your debts'!$F$6&lt;&gt;"",'Your debts'!$F$12&lt;'Your debts'!$F$6),AL247,0)+IF(AND('Your debts'!$F$13&lt;&gt;"",'Your debts'!$F$6&lt;&gt;"",'Your debts'!$F$13&lt;'Your debts'!$F$6),AQ247,0)+IF(AND('Your debts'!$F$14&lt;&gt;"",'Your debts'!$F$6&lt;&gt;"",'Your debts'!$F$14&lt;'Your debts'!$F$6),AV247,0)+IF(AND('Your debts'!$F$15&lt;&gt;"",'Your debts'!$F$6&lt;&gt;"",'Your debts'!$F$15&lt;'Your debts'!$F$6),BA247,0)))))</f>
        <v/>
      </c>
      <c r="J247" s="33">
        <f>H247-I247</f>
        <v/>
      </c>
      <c r="K247" s="33">
        <f>IF(O246&lt;=0,0,ROUND(O246*(1+'Your debts'!$D$7/1200),2))</f>
        <v/>
      </c>
      <c r="L247" s="33">
        <f>IF(K247&lt;=0,0,MIN('Your debts'!$E$7,K247))</f>
        <v/>
      </c>
      <c r="M247" s="33">
        <f>K247-L247</f>
        <v/>
      </c>
      <c r="N247" s="33">
        <f>IF('Your debts'!$F$7="",0,MIN(M247,MAX(0,MAX(0,'Your debts'!$C$19-(G247+L247+Q247+V247+AA247+AF247+AK247+AP247+AU247+AZ247))-(IF(AND('Your debts'!$F$6&lt;&gt;"",'Your debts'!$F$7&lt;&gt;"",'Your debts'!$F$6&lt;'Your debts'!$F$7),H247,0)+IF(AND('Your debts'!$F$8&lt;&gt;"",'Your debts'!$F$7&lt;&gt;"",'Your debts'!$F$8&lt;'Your debts'!$F$7),R247,0)+IF(AND('Your debts'!$F$9&lt;&gt;"",'Your debts'!$F$7&lt;&gt;"",'Your debts'!$F$9&lt;'Your debts'!$F$7),W247,0)+IF(AND('Your debts'!$F$10&lt;&gt;"",'Your debts'!$F$7&lt;&gt;"",'Your debts'!$F$10&lt;'Your debts'!$F$7),AB247,0)+IF(AND('Your debts'!$F$11&lt;&gt;"",'Your debts'!$F$7&lt;&gt;"",'Your debts'!$F$11&lt;'Your debts'!$F$7),AG247,0)+IF(AND('Your debts'!$F$12&lt;&gt;"",'Your debts'!$F$7&lt;&gt;"",'Your debts'!$F$12&lt;'Your debts'!$F$7),AL247,0)+IF(AND('Your debts'!$F$13&lt;&gt;"",'Your debts'!$F$7&lt;&gt;"",'Your debts'!$F$13&lt;'Your debts'!$F$7),AQ247,0)+IF(AND('Your debts'!$F$14&lt;&gt;"",'Your debts'!$F$7&lt;&gt;"",'Your debts'!$F$14&lt;'Your debts'!$F$7),AV247,0)+IF(AND('Your debts'!$F$15&lt;&gt;"",'Your debts'!$F$7&lt;&gt;"",'Your debts'!$F$15&lt;'Your debts'!$F$7),BA247,0)))))</f>
        <v/>
      </c>
      <c r="O247" s="33">
        <f>M247-N247</f>
        <v/>
      </c>
      <c r="P247" s="33">
        <f>IF(T246&lt;=0,0,ROUND(T246*(1+'Your debts'!$D$8/1200),2))</f>
        <v/>
      </c>
      <c r="Q247" s="33">
        <f>IF(P247&lt;=0,0,MIN('Your debts'!$E$8,P247))</f>
        <v/>
      </c>
      <c r="R247" s="33">
        <f>P247-Q247</f>
        <v/>
      </c>
      <c r="S247" s="33">
        <f>IF('Your debts'!$F$8="",0,MIN(R247,MAX(0,MAX(0,'Your debts'!$C$19-(G247+L247+Q247+V247+AA247+AF247+AK247+AP247+AU247+AZ247))-(IF(AND('Your debts'!$F$6&lt;&gt;"",'Your debts'!$F$8&lt;&gt;"",'Your debts'!$F$6&lt;'Your debts'!$F$8),H247,0)+IF(AND('Your debts'!$F$7&lt;&gt;"",'Your debts'!$F$8&lt;&gt;"",'Your debts'!$F$7&lt;'Your debts'!$F$8),M247,0)+IF(AND('Your debts'!$F$9&lt;&gt;"",'Your debts'!$F$8&lt;&gt;"",'Your debts'!$F$9&lt;'Your debts'!$F$8),W247,0)+IF(AND('Your debts'!$F$10&lt;&gt;"",'Your debts'!$F$8&lt;&gt;"",'Your debts'!$F$10&lt;'Your debts'!$F$8),AB247,0)+IF(AND('Your debts'!$F$11&lt;&gt;"",'Your debts'!$F$8&lt;&gt;"",'Your debts'!$F$11&lt;'Your debts'!$F$8),AG247,0)+IF(AND('Your debts'!$F$12&lt;&gt;"",'Your debts'!$F$8&lt;&gt;"",'Your debts'!$F$12&lt;'Your debts'!$F$8),AL247,0)+IF(AND('Your debts'!$F$13&lt;&gt;"",'Your debts'!$F$8&lt;&gt;"",'Your debts'!$F$13&lt;'Your debts'!$F$8),AQ247,0)+IF(AND('Your debts'!$F$14&lt;&gt;"",'Your debts'!$F$8&lt;&gt;"",'Your debts'!$F$14&lt;'Your debts'!$F$8),AV247,0)+IF(AND('Your debts'!$F$15&lt;&gt;"",'Your debts'!$F$8&lt;&gt;"",'Your debts'!$F$15&lt;'Your debts'!$F$8),BA247,0)))))</f>
        <v/>
      </c>
      <c r="T247" s="33">
        <f>R247-S247</f>
        <v/>
      </c>
      <c r="U247" s="33">
        <f>IF(Y246&lt;=0,0,ROUND(Y246*(1+'Your debts'!$D$9/1200),2))</f>
        <v/>
      </c>
      <c r="V247" s="33">
        <f>IF(U247&lt;=0,0,MIN('Your debts'!$E$9,U247))</f>
        <v/>
      </c>
      <c r="W247" s="33">
        <f>U247-V247</f>
        <v/>
      </c>
      <c r="X247" s="33">
        <f>IF('Your debts'!$F$9="",0,MIN(W247,MAX(0,MAX(0,'Your debts'!$C$19-(G247+L247+Q247+V247+AA247+AF247+AK247+AP247+AU247+AZ247))-(IF(AND('Your debts'!$F$6&lt;&gt;"",'Your debts'!$F$9&lt;&gt;"",'Your debts'!$F$6&lt;'Your debts'!$F$9),H247,0)+IF(AND('Your debts'!$F$7&lt;&gt;"",'Your debts'!$F$9&lt;&gt;"",'Your debts'!$F$7&lt;'Your debts'!$F$9),M247,0)+IF(AND('Your debts'!$F$8&lt;&gt;"",'Your debts'!$F$9&lt;&gt;"",'Your debts'!$F$8&lt;'Your debts'!$F$9),R247,0)+IF(AND('Your debts'!$F$10&lt;&gt;"",'Your debts'!$F$9&lt;&gt;"",'Your debts'!$F$10&lt;'Your debts'!$F$9),AB247,0)+IF(AND('Your debts'!$F$11&lt;&gt;"",'Your debts'!$F$9&lt;&gt;"",'Your debts'!$F$11&lt;'Your debts'!$F$9),AG247,0)+IF(AND('Your debts'!$F$12&lt;&gt;"",'Your debts'!$F$9&lt;&gt;"",'Your debts'!$F$12&lt;'Your debts'!$F$9),AL247,0)+IF(AND('Your debts'!$F$13&lt;&gt;"",'Your debts'!$F$9&lt;&gt;"",'Your debts'!$F$13&lt;'Your debts'!$F$9),AQ247,0)+IF(AND('Your debts'!$F$14&lt;&gt;"",'Your debts'!$F$9&lt;&gt;"",'Your debts'!$F$14&lt;'Your debts'!$F$9),AV247,0)+IF(AND('Your debts'!$F$15&lt;&gt;"",'Your debts'!$F$9&lt;&gt;"",'Your debts'!$F$15&lt;'Your debts'!$F$9),BA247,0)))))</f>
        <v/>
      </c>
      <c r="Y247" s="33">
        <f>W247-X247</f>
        <v/>
      </c>
      <c r="Z247" s="33">
        <f>IF(AD246&lt;=0,0,ROUND(AD246*(1+'Your debts'!$D$10/1200),2))</f>
        <v/>
      </c>
      <c r="AA247" s="33">
        <f>IF(Z247&lt;=0,0,MIN('Your debts'!$E$10,Z247))</f>
        <v/>
      </c>
      <c r="AB247" s="33">
        <f>Z247-AA247</f>
        <v/>
      </c>
      <c r="AC247" s="33">
        <f>IF('Your debts'!$F$10="",0,MIN(AB247,MAX(0,MAX(0,'Your debts'!$C$19-(G247+L247+Q247+V247+AA247+AF247+AK247+AP247+AU247+AZ247))-(IF(AND('Your debts'!$F$6&lt;&gt;"",'Your debts'!$F$10&lt;&gt;"",'Your debts'!$F$6&lt;'Your debts'!$F$10),H247,0)+IF(AND('Your debts'!$F$7&lt;&gt;"",'Your debts'!$F$10&lt;&gt;"",'Your debts'!$F$7&lt;'Your debts'!$F$10),M247,0)+IF(AND('Your debts'!$F$8&lt;&gt;"",'Your debts'!$F$10&lt;&gt;"",'Your debts'!$F$8&lt;'Your debts'!$F$10),R247,0)+IF(AND('Your debts'!$F$9&lt;&gt;"",'Your debts'!$F$10&lt;&gt;"",'Your debts'!$F$9&lt;'Your debts'!$F$10),W247,0)+IF(AND('Your debts'!$F$11&lt;&gt;"",'Your debts'!$F$10&lt;&gt;"",'Your debts'!$F$11&lt;'Your debts'!$F$10),AG247,0)+IF(AND('Your debts'!$F$12&lt;&gt;"",'Your debts'!$F$10&lt;&gt;"",'Your debts'!$F$12&lt;'Your debts'!$F$10),AL247,0)+IF(AND('Your debts'!$F$13&lt;&gt;"",'Your debts'!$F$10&lt;&gt;"",'Your debts'!$F$13&lt;'Your debts'!$F$10),AQ247,0)+IF(AND('Your debts'!$F$14&lt;&gt;"",'Your debts'!$F$10&lt;&gt;"",'Your debts'!$F$14&lt;'Your debts'!$F$10),AV247,0)+IF(AND('Your debts'!$F$15&lt;&gt;"",'Your debts'!$F$10&lt;&gt;"",'Your debts'!$F$15&lt;'Your debts'!$F$10),BA247,0)))))</f>
        <v/>
      </c>
      <c r="AD247" s="33">
        <f>AB247-AC247</f>
        <v/>
      </c>
      <c r="AE247" s="33">
        <f>IF(AI246&lt;=0,0,ROUND(AI246*(1+'Your debts'!$D$11/1200),2))</f>
        <v/>
      </c>
      <c r="AF247" s="33">
        <f>IF(AE247&lt;=0,0,MIN('Your debts'!$E$11,AE247))</f>
        <v/>
      </c>
      <c r="AG247" s="33">
        <f>AE247-AF247</f>
        <v/>
      </c>
      <c r="AH247" s="33">
        <f>IF('Your debts'!$F$11="",0,MIN(AG247,MAX(0,MAX(0,'Your debts'!$C$19-(G247+L247+Q247+V247+AA247+AF247+AK247+AP247+AU247+AZ247))-(IF(AND('Your debts'!$F$6&lt;&gt;"",'Your debts'!$F$11&lt;&gt;"",'Your debts'!$F$6&lt;'Your debts'!$F$11),H247,0)+IF(AND('Your debts'!$F$7&lt;&gt;"",'Your debts'!$F$11&lt;&gt;"",'Your debts'!$F$7&lt;'Your debts'!$F$11),M247,0)+IF(AND('Your debts'!$F$8&lt;&gt;"",'Your debts'!$F$11&lt;&gt;"",'Your debts'!$F$8&lt;'Your debts'!$F$11),R247,0)+IF(AND('Your debts'!$F$9&lt;&gt;"",'Your debts'!$F$11&lt;&gt;"",'Your debts'!$F$9&lt;'Your debts'!$F$11),W247,0)+IF(AND('Your debts'!$F$10&lt;&gt;"",'Your debts'!$F$11&lt;&gt;"",'Your debts'!$F$10&lt;'Your debts'!$F$11),AB247,0)+IF(AND('Your debts'!$F$12&lt;&gt;"",'Your debts'!$F$11&lt;&gt;"",'Your debts'!$F$12&lt;'Your debts'!$F$11),AL247,0)+IF(AND('Your debts'!$F$13&lt;&gt;"",'Your debts'!$F$11&lt;&gt;"",'Your debts'!$F$13&lt;'Your debts'!$F$11),AQ247,0)+IF(AND('Your debts'!$F$14&lt;&gt;"",'Your debts'!$F$11&lt;&gt;"",'Your debts'!$F$14&lt;'Your debts'!$F$11),AV247,0)+IF(AND('Your debts'!$F$15&lt;&gt;"",'Your debts'!$F$11&lt;&gt;"",'Your debts'!$F$15&lt;'Your debts'!$F$11),BA247,0)))))</f>
        <v/>
      </c>
      <c r="AI247" s="33">
        <f>AG247-AH247</f>
        <v/>
      </c>
      <c r="AJ247" s="33">
        <f>IF(AN246&lt;=0,0,ROUND(AN246*(1+'Your debts'!$D$12/1200),2))</f>
        <v/>
      </c>
      <c r="AK247" s="33">
        <f>IF(AJ247&lt;=0,0,MIN('Your debts'!$E$12,AJ247))</f>
        <v/>
      </c>
      <c r="AL247" s="33">
        <f>AJ247-AK247</f>
        <v/>
      </c>
      <c r="AM247" s="33">
        <f>IF('Your debts'!$F$12="",0,MIN(AL247,MAX(0,MAX(0,'Your debts'!$C$19-(G247+L247+Q247+V247+AA247+AF247+AK247+AP247+AU247+AZ247))-(IF(AND('Your debts'!$F$6&lt;&gt;"",'Your debts'!$F$12&lt;&gt;"",'Your debts'!$F$6&lt;'Your debts'!$F$12),H247,0)+IF(AND('Your debts'!$F$7&lt;&gt;"",'Your debts'!$F$12&lt;&gt;"",'Your debts'!$F$7&lt;'Your debts'!$F$12),M247,0)+IF(AND('Your debts'!$F$8&lt;&gt;"",'Your debts'!$F$12&lt;&gt;"",'Your debts'!$F$8&lt;'Your debts'!$F$12),R247,0)+IF(AND('Your debts'!$F$9&lt;&gt;"",'Your debts'!$F$12&lt;&gt;"",'Your debts'!$F$9&lt;'Your debts'!$F$12),W247,0)+IF(AND('Your debts'!$F$10&lt;&gt;"",'Your debts'!$F$12&lt;&gt;"",'Your debts'!$F$10&lt;'Your debts'!$F$12),AB247,0)+IF(AND('Your debts'!$F$11&lt;&gt;"",'Your debts'!$F$12&lt;&gt;"",'Your debts'!$F$11&lt;'Your debts'!$F$12),AG247,0)+IF(AND('Your debts'!$F$13&lt;&gt;"",'Your debts'!$F$12&lt;&gt;"",'Your debts'!$F$13&lt;'Your debts'!$F$12),AQ247,0)+IF(AND('Your debts'!$F$14&lt;&gt;"",'Your debts'!$F$12&lt;&gt;"",'Your debts'!$F$14&lt;'Your debts'!$F$12),AV247,0)+IF(AND('Your debts'!$F$15&lt;&gt;"",'Your debts'!$F$12&lt;&gt;"",'Your debts'!$F$15&lt;'Your debts'!$F$12),BA247,0)))))</f>
        <v/>
      </c>
      <c r="AN247" s="33">
        <f>AL247-AM247</f>
        <v/>
      </c>
      <c r="AO247" s="33">
        <f>IF(AS246&lt;=0,0,ROUND(AS246*(1+'Your debts'!$D$13/1200),2))</f>
        <v/>
      </c>
      <c r="AP247" s="33">
        <f>IF(AO247&lt;=0,0,MIN('Your debts'!$E$13,AO247))</f>
        <v/>
      </c>
      <c r="AQ247" s="33">
        <f>AO247-AP247</f>
        <v/>
      </c>
      <c r="AR247" s="33">
        <f>IF('Your debts'!$F$13="",0,MIN(AQ247,MAX(0,MAX(0,'Your debts'!$C$19-(G247+L247+Q247+V247+AA247+AF247+AK247+AP247+AU247+AZ247))-(IF(AND('Your debts'!$F$6&lt;&gt;"",'Your debts'!$F$13&lt;&gt;"",'Your debts'!$F$6&lt;'Your debts'!$F$13),H247,0)+IF(AND('Your debts'!$F$7&lt;&gt;"",'Your debts'!$F$13&lt;&gt;"",'Your debts'!$F$7&lt;'Your debts'!$F$13),M247,0)+IF(AND('Your debts'!$F$8&lt;&gt;"",'Your debts'!$F$13&lt;&gt;"",'Your debts'!$F$8&lt;'Your debts'!$F$13),R247,0)+IF(AND('Your debts'!$F$9&lt;&gt;"",'Your debts'!$F$13&lt;&gt;"",'Your debts'!$F$9&lt;'Your debts'!$F$13),W247,0)+IF(AND('Your debts'!$F$10&lt;&gt;"",'Your debts'!$F$13&lt;&gt;"",'Your debts'!$F$10&lt;'Your debts'!$F$13),AB247,0)+IF(AND('Your debts'!$F$11&lt;&gt;"",'Your debts'!$F$13&lt;&gt;"",'Your debts'!$F$11&lt;'Your debts'!$F$13),AG247,0)+IF(AND('Your debts'!$F$12&lt;&gt;"",'Your debts'!$F$13&lt;&gt;"",'Your debts'!$F$12&lt;'Your debts'!$F$13),AL247,0)+IF(AND('Your debts'!$F$14&lt;&gt;"",'Your debts'!$F$13&lt;&gt;"",'Your debts'!$F$14&lt;'Your debts'!$F$13),AV247,0)+IF(AND('Your debts'!$F$15&lt;&gt;"",'Your debts'!$F$13&lt;&gt;"",'Your debts'!$F$15&lt;'Your debts'!$F$13),BA247,0)))))</f>
        <v/>
      </c>
      <c r="AS247" s="33">
        <f>AQ247-AR247</f>
        <v/>
      </c>
      <c r="AT247" s="33">
        <f>IF(AX246&lt;=0,0,ROUND(AX246*(1+'Your debts'!$D$14/1200),2))</f>
        <v/>
      </c>
      <c r="AU247" s="33">
        <f>IF(AT247&lt;=0,0,MIN('Your debts'!$E$14,AT247))</f>
        <v/>
      </c>
      <c r="AV247" s="33">
        <f>AT247-AU247</f>
        <v/>
      </c>
      <c r="AW247" s="33">
        <f>IF('Your debts'!$F$14="",0,MIN(AV247,MAX(0,MAX(0,'Your debts'!$C$19-(G247+L247+Q247+V247+AA247+AF247+AK247+AP247+AU247+AZ247))-(IF(AND('Your debts'!$F$6&lt;&gt;"",'Your debts'!$F$14&lt;&gt;"",'Your debts'!$F$6&lt;'Your debts'!$F$14),H247,0)+IF(AND('Your debts'!$F$7&lt;&gt;"",'Your debts'!$F$14&lt;&gt;"",'Your debts'!$F$7&lt;'Your debts'!$F$14),M247,0)+IF(AND('Your debts'!$F$8&lt;&gt;"",'Your debts'!$F$14&lt;&gt;"",'Your debts'!$F$8&lt;'Your debts'!$F$14),R247,0)+IF(AND('Your debts'!$F$9&lt;&gt;"",'Your debts'!$F$14&lt;&gt;"",'Your debts'!$F$9&lt;'Your debts'!$F$14),W247,0)+IF(AND('Your debts'!$F$10&lt;&gt;"",'Your debts'!$F$14&lt;&gt;"",'Your debts'!$F$10&lt;'Your debts'!$F$14),AB247,0)+IF(AND('Your debts'!$F$11&lt;&gt;"",'Your debts'!$F$14&lt;&gt;"",'Your debts'!$F$11&lt;'Your debts'!$F$14),AG247,0)+IF(AND('Your debts'!$F$12&lt;&gt;"",'Your debts'!$F$14&lt;&gt;"",'Your debts'!$F$12&lt;'Your debts'!$F$14),AL247,0)+IF(AND('Your debts'!$F$13&lt;&gt;"",'Your debts'!$F$14&lt;&gt;"",'Your debts'!$F$13&lt;'Your debts'!$F$14),AQ247,0)+IF(AND('Your debts'!$F$15&lt;&gt;"",'Your debts'!$F$14&lt;&gt;"",'Your debts'!$F$15&lt;'Your debts'!$F$14),BA247,0)))))</f>
        <v/>
      </c>
      <c r="AX247" s="33">
        <f>AV247-AW247</f>
        <v/>
      </c>
      <c r="AY247" s="33">
        <f>IF(BC246&lt;=0,0,ROUND(BC246*(1+'Your debts'!$D$15/1200),2))</f>
        <v/>
      </c>
      <c r="AZ247" s="33">
        <f>IF(AY247&lt;=0,0,MIN('Your debts'!$E$15,AY247))</f>
        <v/>
      </c>
      <c r="BA247" s="33">
        <f>AY247-AZ247</f>
        <v/>
      </c>
      <c r="BB247" s="33">
        <f>IF('Your debts'!$F$15="",0,MIN(BA247,MAX(0,MAX(0,'Your debts'!$C$19-(G247+L247+Q247+V247+AA247+AF247+AK247+AP247+AU247+AZ247))-(IF(AND('Your debts'!$F$6&lt;&gt;"",'Your debts'!$F$15&lt;&gt;"",'Your debts'!$F$6&lt;'Your debts'!$F$15),H247,0)+IF(AND('Your debts'!$F$7&lt;&gt;"",'Your debts'!$F$15&lt;&gt;"",'Your debts'!$F$7&lt;'Your debts'!$F$15),M247,0)+IF(AND('Your debts'!$F$8&lt;&gt;"",'Your debts'!$F$15&lt;&gt;"",'Your debts'!$F$8&lt;'Your debts'!$F$15),R247,0)+IF(AND('Your debts'!$F$9&lt;&gt;"",'Your debts'!$F$15&lt;&gt;"",'Your debts'!$F$9&lt;'Your debts'!$F$15),W247,0)+IF(AND('Your debts'!$F$10&lt;&gt;"",'Your debts'!$F$15&lt;&gt;"",'Your debts'!$F$10&lt;'Your debts'!$F$15),AB247,0)+IF(AND('Your debts'!$F$11&lt;&gt;"",'Your debts'!$F$15&lt;&gt;"",'Your debts'!$F$11&lt;'Your debts'!$F$15),AG247,0)+IF(AND('Your debts'!$F$12&lt;&gt;"",'Your debts'!$F$15&lt;&gt;"",'Your debts'!$F$12&lt;'Your debts'!$F$15),AL247,0)+IF(AND('Your debts'!$F$13&lt;&gt;"",'Your debts'!$F$15&lt;&gt;"",'Your debts'!$F$13&lt;'Your debts'!$F$15),AQ247,0)+IF(AND('Your debts'!$F$14&lt;&gt;"",'Your debts'!$F$15&lt;&gt;"",'Your debts'!$F$14&lt;'Your debts'!$F$15),AV247,0)))))</f>
        <v/>
      </c>
      <c r="BC247" s="33">
        <f>BA247-BB247</f>
        <v/>
      </c>
    </row>
    <row r="248">
      <c r="A248" s="30" t="n">
        <v>233</v>
      </c>
      <c r="B248" s="31">
        <f>EDATE($B$15,233)</f>
        <v/>
      </c>
      <c r="C248" s="32">
        <f>IF(J247&lt;=0,0,F248-J247)+IF(O247&lt;=0,0,K248-O247)+IF(T247&lt;=0,0,P248-T247)+IF(Y247&lt;=0,0,U248-Y247)+IF(AD247&lt;=0,0,Z248-AD247)+IF(AI247&lt;=0,0,AE248-AI247)+IF(AN247&lt;=0,0,AJ248-AN247)+IF(AS247&lt;=0,0,AO248-AS247)+IF(AX247&lt;=0,0,AT248-AX247)+IF(BC247&lt;=0,0,AY248-BC247)</f>
        <v/>
      </c>
      <c r="D248" s="32">
        <f>G248+I248+L248+N248+Q248+S248+V248+X248+AA248+AC248+AF248+AH248+AK248+AM248+AP248+AR248+AU248+AW248+AZ248+BB248</f>
        <v/>
      </c>
      <c r="E248" s="32">
        <f>J248+O248+T248+Y248+AD248+AI248+AN248+AS248+AX248+BC248</f>
        <v/>
      </c>
      <c r="F248" s="33">
        <f>IF(J247&lt;=0,0,ROUND(J247*(1+'Your debts'!$D$6/1200),2))</f>
        <v/>
      </c>
      <c r="G248" s="33">
        <f>IF(F248&lt;=0,0,MIN('Your debts'!$E$6,F248))</f>
        <v/>
      </c>
      <c r="H248" s="33">
        <f>F248-G248</f>
        <v/>
      </c>
      <c r="I248" s="33">
        <f>IF('Your debts'!$F$6="",0,MIN(H248,MAX(0,MAX(0,'Your debts'!$C$19-(G248+L248+Q248+V248+AA248+AF248+AK248+AP248+AU248+AZ248))-(IF(AND('Your debts'!$F$7&lt;&gt;"",'Your debts'!$F$6&lt;&gt;"",'Your debts'!$F$7&lt;'Your debts'!$F$6),M248,0)+IF(AND('Your debts'!$F$8&lt;&gt;"",'Your debts'!$F$6&lt;&gt;"",'Your debts'!$F$8&lt;'Your debts'!$F$6),R248,0)+IF(AND('Your debts'!$F$9&lt;&gt;"",'Your debts'!$F$6&lt;&gt;"",'Your debts'!$F$9&lt;'Your debts'!$F$6),W248,0)+IF(AND('Your debts'!$F$10&lt;&gt;"",'Your debts'!$F$6&lt;&gt;"",'Your debts'!$F$10&lt;'Your debts'!$F$6),AB248,0)+IF(AND('Your debts'!$F$11&lt;&gt;"",'Your debts'!$F$6&lt;&gt;"",'Your debts'!$F$11&lt;'Your debts'!$F$6),AG248,0)+IF(AND('Your debts'!$F$12&lt;&gt;"",'Your debts'!$F$6&lt;&gt;"",'Your debts'!$F$12&lt;'Your debts'!$F$6),AL248,0)+IF(AND('Your debts'!$F$13&lt;&gt;"",'Your debts'!$F$6&lt;&gt;"",'Your debts'!$F$13&lt;'Your debts'!$F$6),AQ248,0)+IF(AND('Your debts'!$F$14&lt;&gt;"",'Your debts'!$F$6&lt;&gt;"",'Your debts'!$F$14&lt;'Your debts'!$F$6),AV248,0)+IF(AND('Your debts'!$F$15&lt;&gt;"",'Your debts'!$F$6&lt;&gt;"",'Your debts'!$F$15&lt;'Your debts'!$F$6),BA248,0)))))</f>
        <v/>
      </c>
      <c r="J248" s="33">
        <f>H248-I248</f>
        <v/>
      </c>
      <c r="K248" s="33">
        <f>IF(O247&lt;=0,0,ROUND(O247*(1+'Your debts'!$D$7/1200),2))</f>
        <v/>
      </c>
      <c r="L248" s="33">
        <f>IF(K248&lt;=0,0,MIN('Your debts'!$E$7,K248))</f>
        <v/>
      </c>
      <c r="M248" s="33">
        <f>K248-L248</f>
        <v/>
      </c>
      <c r="N248" s="33">
        <f>IF('Your debts'!$F$7="",0,MIN(M248,MAX(0,MAX(0,'Your debts'!$C$19-(G248+L248+Q248+V248+AA248+AF248+AK248+AP248+AU248+AZ248))-(IF(AND('Your debts'!$F$6&lt;&gt;"",'Your debts'!$F$7&lt;&gt;"",'Your debts'!$F$6&lt;'Your debts'!$F$7),H248,0)+IF(AND('Your debts'!$F$8&lt;&gt;"",'Your debts'!$F$7&lt;&gt;"",'Your debts'!$F$8&lt;'Your debts'!$F$7),R248,0)+IF(AND('Your debts'!$F$9&lt;&gt;"",'Your debts'!$F$7&lt;&gt;"",'Your debts'!$F$9&lt;'Your debts'!$F$7),W248,0)+IF(AND('Your debts'!$F$10&lt;&gt;"",'Your debts'!$F$7&lt;&gt;"",'Your debts'!$F$10&lt;'Your debts'!$F$7),AB248,0)+IF(AND('Your debts'!$F$11&lt;&gt;"",'Your debts'!$F$7&lt;&gt;"",'Your debts'!$F$11&lt;'Your debts'!$F$7),AG248,0)+IF(AND('Your debts'!$F$12&lt;&gt;"",'Your debts'!$F$7&lt;&gt;"",'Your debts'!$F$12&lt;'Your debts'!$F$7),AL248,0)+IF(AND('Your debts'!$F$13&lt;&gt;"",'Your debts'!$F$7&lt;&gt;"",'Your debts'!$F$13&lt;'Your debts'!$F$7),AQ248,0)+IF(AND('Your debts'!$F$14&lt;&gt;"",'Your debts'!$F$7&lt;&gt;"",'Your debts'!$F$14&lt;'Your debts'!$F$7),AV248,0)+IF(AND('Your debts'!$F$15&lt;&gt;"",'Your debts'!$F$7&lt;&gt;"",'Your debts'!$F$15&lt;'Your debts'!$F$7),BA248,0)))))</f>
        <v/>
      </c>
      <c r="O248" s="33">
        <f>M248-N248</f>
        <v/>
      </c>
      <c r="P248" s="33">
        <f>IF(T247&lt;=0,0,ROUND(T247*(1+'Your debts'!$D$8/1200),2))</f>
        <v/>
      </c>
      <c r="Q248" s="33">
        <f>IF(P248&lt;=0,0,MIN('Your debts'!$E$8,P248))</f>
        <v/>
      </c>
      <c r="R248" s="33">
        <f>P248-Q248</f>
        <v/>
      </c>
      <c r="S248" s="33">
        <f>IF('Your debts'!$F$8="",0,MIN(R248,MAX(0,MAX(0,'Your debts'!$C$19-(G248+L248+Q248+V248+AA248+AF248+AK248+AP248+AU248+AZ248))-(IF(AND('Your debts'!$F$6&lt;&gt;"",'Your debts'!$F$8&lt;&gt;"",'Your debts'!$F$6&lt;'Your debts'!$F$8),H248,0)+IF(AND('Your debts'!$F$7&lt;&gt;"",'Your debts'!$F$8&lt;&gt;"",'Your debts'!$F$7&lt;'Your debts'!$F$8),M248,0)+IF(AND('Your debts'!$F$9&lt;&gt;"",'Your debts'!$F$8&lt;&gt;"",'Your debts'!$F$9&lt;'Your debts'!$F$8),W248,0)+IF(AND('Your debts'!$F$10&lt;&gt;"",'Your debts'!$F$8&lt;&gt;"",'Your debts'!$F$10&lt;'Your debts'!$F$8),AB248,0)+IF(AND('Your debts'!$F$11&lt;&gt;"",'Your debts'!$F$8&lt;&gt;"",'Your debts'!$F$11&lt;'Your debts'!$F$8),AG248,0)+IF(AND('Your debts'!$F$12&lt;&gt;"",'Your debts'!$F$8&lt;&gt;"",'Your debts'!$F$12&lt;'Your debts'!$F$8),AL248,0)+IF(AND('Your debts'!$F$13&lt;&gt;"",'Your debts'!$F$8&lt;&gt;"",'Your debts'!$F$13&lt;'Your debts'!$F$8),AQ248,0)+IF(AND('Your debts'!$F$14&lt;&gt;"",'Your debts'!$F$8&lt;&gt;"",'Your debts'!$F$14&lt;'Your debts'!$F$8),AV248,0)+IF(AND('Your debts'!$F$15&lt;&gt;"",'Your debts'!$F$8&lt;&gt;"",'Your debts'!$F$15&lt;'Your debts'!$F$8),BA248,0)))))</f>
        <v/>
      </c>
      <c r="T248" s="33">
        <f>R248-S248</f>
        <v/>
      </c>
      <c r="U248" s="33">
        <f>IF(Y247&lt;=0,0,ROUND(Y247*(1+'Your debts'!$D$9/1200),2))</f>
        <v/>
      </c>
      <c r="V248" s="33">
        <f>IF(U248&lt;=0,0,MIN('Your debts'!$E$9,U248))</f>
        <v/>
      </c>
      <c r="W248" s="33">
        <f>U248-V248</f>
        <v/>
      </c>
      <c r="X248" s="33">
        <f>IF('Your debts'!$F$9="",0,MIN(W248,MAX(0,MAX(0,'Your debts'!$C$19-(G248+L248+Q248+V248+AA248+AF248+AK248+AP248+AU248+AZ248))-(IF(AND('Your debts'!$F$6&lt;&gt;"",'Your debts'!$F$9&lt;&gt;"",'Your debts'!$F$6&lt;'Your debts'!$F$9),H248,0)+IF(AND('Your debts'!$F$7&lt;&gt;"",'Your debts'!$F$9&lt;&gt;"",'Your debts'!$F$7&lt;'Your debts'!$F$9),M248,0)+IF(AND('Your debts'!$F$8&lt;&gt;"",'Your debts'!$F$9&lt;&gt;"",'Your debts'!$F$8&lt;'Your debts'!$F$9),R248,0)+IF(AND('Your debts'!$F$10&lt;&gt;"",'Your debts'!$F$9&lt;&gt;"",'Your debts'!$F$10&lt;'Your debts'!$F$9),AB248,0)+IF(AND('Your debts'!$F$11&lt;&gt;"",'Your debts'!$F$9&lt;&gt;"",'Your debts'!$F$11&lt;'Your debts'!$F$9),AG248,0)+IF(AND('Your debts'!$F$12&lt;&gt;"",'Your debts'!$F$9&lt;&gt;"",'Your debts'!$F$12&lt;'Your debts'!$F$9),AL248,0)+IF(AND('Your debts'!$F$13&lt;&gt;"",'Your debts'!$F$9&lt;&gt;"",'Your debts'!$F$13&lt;'Your debts'!$F$9),AQ248,0)+IF(AND('Your debts'!$F$14&lt;&gt;"",'Your debts'!$F$9&lt;&gt;"",'Your debts'!$F$14&lt;'Your debts'!$F$9),AV248,0)+IF(AND('Your debts'!$F$15&lt;&gt;"",'Your debts'!$F$9&lt;&gt;"",'Your debts'!$F$15&lt;'Your debts'!$F$9),BA248,0)))))</f>
        <v/>
      </c>
      <c r="Y248" s="33">
        <f>W248-X248</f>
        <v/>
      </c>
      <c r="Z248" s="33">
        <f>IF(AD247&lt;=0,0,ROUND(AD247*(1+'Your debts'!$D$10/1200),2))</f>
        <v/>
      </c>
      <c r="AA248" s="33">
        <f>IF(Z248&lt;=0,0,MIN('Your debts'!$E$10,Z248))</f>
        <v/>
      </c>
      <c r="AB248" s="33">
        <f>Z248-AA248</f>
        <v/>
      </c>
      <c r="AC248" s="33">
        <f>IF('Your debts'!$F$10="",0,MIN(AB248,MAX(0,MAX(0,'Your debts'!$C$19-(G248+L248+Q248+V248+AA248+AF248+AK248+AP248+AU248+AZ248))-(IF(AND('Your debts'!$F$6&lt;&gt;"",'Your debts'!$F$10&lt;&gt;"",'Your debts'!$F$6&lt;'Your debts'!$F$10),H248,0)+IF(AND('Your debts'!$F$7&lt;&gt;"",'Your debts'!$F$10&lt;&gt;"",'Your debts'!$F$7&lt;'Your debts'!$F$10),M248,0)+IF(AND('Your debts'!$F$8&lt;&gt;"",'Your debts'!$F$10&lt;&gt;"",'Your debts'!$F$8&lt;'Your debts'!$F$10),R248,0)+IF(AND('Your debts'!$F$9&lt;&gt;"",'Your debts'!$F$10&lt;&gt;"",'Your debts'!$F$9&lt;'Your debts'!$F$10),W248,0)+IF(AND('Your debts'!$F$11&lt;&gt;"",'Your debts'!$F$10&lt;&gt;"",'Your debts'!$F$11&lt;'Your debts'!$F$10),AG248,0)+IF(AND('Your debts'!$F$12&lt;&gt;"",'Your debts'!$F$10&lt;&gt;"",'Your debts'!$F$12&lt;'Your debts'!$F$10),AL248,0)+IF(AND('Your debts'!$F$13&lt;&gt;"",'Your debts'!$F$10&lt;&gt;"",'Your debts'!$F$13&lt;'Your debts'!$F$10),AQ248,0)+IF(AND('Your debts'!$F$14&lt;&gt;"",'Your debts'!$F$10&lt;&gt;"",'Your debts'!$F$14&lt;'Your debts'!$F$10),AV248,0)+IF(AND('Your debts'!$F$15&lt;&gt;"",'Your debts'!$F$10&lt;&gt;"",'Your debts'!$F$15&lt;'Your debts'!$F$10),BA248,0)))))</f>
        <v/>
      </c>
      <c r="AD248" s="33">
        <f>AB248-AC248</f>
        <v/>
      </c>
      <c r="AE248" s="33">
        <f>IF(AI247&lt;=0,0,ROUND(AI247*(1+'Your debts'!$D$11/1200),2))</f>
        <v/>
      </c>
      <c r="AF248" s="33">
        <f>IF(AE248&lt;=0,0,MIN('Your debts'!$E$11,AE248))</f>
        <v/>
      </c>
      <c r="AG248" s="33">
        <f>AE248-AF248</f>
        <v/>
      </c>
      <c r="AH248" s="33">
        <f>IF('Your debts'!$F$11="",0,MIN(AG248,MAX(0,MAX(0,'Your debts'!$C$19-(G248+L248+Q248+V248+AA248+AF248+AK248+AP248+AU248+AZ248))-(IF(AND('Your debts'!$F$6&lt;&gt;"",'Your debts'!$F$11&lt;&gt;"",'Your debts'!$F$6&lt;'Your debts'!$F$11),H248,0)+IF(AND('Your debts'!$F$7&lt;&gt;"",'Your debts'!$F$11&lt;&gt;"",'Your debts'!$F$7&lt;'Your debts'!$F$11),M248,0)+IF(AND('Your debts'!$F$8&lt;&gt;"",'Your debts'!$F$11&lt;&gt;"",'Your debts'!$F$8&lt;'Your debts'!$F$11),R248,0)+IF(AND('Your debts'!$F$9&lt;&gt;"",'Your debts'!$F$11&lt;&gt;"",'Your debts'!$F$9&lt;'Your debts'!$F$11),W248,0)+IF(AND('Your debts'!$F$10&lt;&gt;"",'Your debts'!$F$11&lt;&gt;"",'Your debts'!$F$10&lt;'Your debts'!$F$11),AB248,0)+IF(AND('Your debts'!$F$12&lt;&gt;"",'Your debts'!$F$11&lt;&gt;"",'Your debts'!$F$12&lt;'Your debts'!$F$11),AL248,0)+IF(AND('Your debts'!$F$13&lt;&gt;"",'Your debts'!$F$11&lt;&gt;"",'Your debts'!$F$13&lt;'Your debts'!$F$11),AQ248,0)+IF(AND('Your debts'!$F$14&lt;&gt;"",'Your debts'!$F$11&lt;&gt;"",'Your debts'!$F$14&lt;'Your debts'!$F$11),AV248,0)+IF(AND('Your debts'!$F$15&lt;&gt;"",'Your debts'!$F$11&lt;&gt;"",'Your debts'!$F$15&lt;'Your debts'!$F$11),BA248,0)))))</f>
        <v/>
      </c>
      <c r="AI248" s="33">
        <f>AG248-AH248</f>
        <v/>
      </c>
      <c r="AJ248" s="33">
        <f>IF(AN247&lt;=0,0,ROUND(AN247*(1+'Your debts'!$D$12/1200),2))</f>
        <v/>
      </c>
      <c r="AK248" s="33">
        <f>IF(AJ248&lt;=0,0,MIN('Your debts'!$E$12,AJ248))</f>
        <v/>
      </c>
      <c r="AL248" s="33">
        <f>AJ248-AK248</f>
        <v/>
      </c>
      <c r="AM248" s="33">
        <f>IF('Your debts'!$F$12="",0,MIN(AL248,MAX(0,MAX(0,'Your debts'!$C$19-(G248+L248+Q248+V248+AA248+AF248+AK248+AP248+AU248+AZ248))-(IF(AND('Your debts'!$F$6&lt;&gt;"",'Your debts'!$F$12&lt;&gt;"",'Your debts'!$F$6&lt;'Your debts'!$F$12),H248,0)+IF(AND('Your debts'!$F$7&lt;&gt;"",'Your debts'!$F$12&lt;&gt;"",'Your debts'!$F$7&lt;'Your debts'!$F$12),M248,0)+IF(AND('Your debts'!$F$8&lt;&gt;"",'Your debts'!$F$12&lt;&gt;"",'Your debts'!$F$8&lt;'Your debts'!$F$12),R248,0)+IF(AND('Your debts'!$F$9&lt;&gt;"",'Your debts'!$F$12&lt;&gt;"",'Your debts'!$F$9&lt;'Your debts'!$F$12),W248,0)+IF(AND('Your debts'!$F$10&lt;&gt;"",'Your debts'!$F$12&lt;&gt;"",'Your debts'!$F$10&lt;'Your debts'!$F$12),AB248,0)+IF(AND('Your debts'!$F$11&lt;&gt;"",'Your debts'!$F$12&lt;&gt;"",'Your debts'!$F$11&lt;'Your debts'!$F$12),AG248,0)+IF(AND('Your debts'!$F$13&lt;&gt;"",'Your debts'!$F$12&lt;&gt;"",'Your debts'!$F$13&lt;'Your debts'!$F$12),AQ248,0)+IF(AND('Your debts'!$F$14&lt;&gt;"",'Your debts'!$F$12&lt;&gt;"",'Your debts'!$F$14&lt;'Your debts'!$F$12),AV248,0)+IF(AND('Your debts'!$F$15&lt;&gt;"",'Your debts'!$F$12&lt;&gt;"",'Your debts'!$F$15&lt;'Your debts'!$F$12),BA248,0)))))</f>
        <v/>
      </c>
      <c r="AN248" s="33">
        <f>AL248-AM248</f>
        <v/>
      </c>
      <c r="AO248" s="33">
        <f>IF(AS247&lt;=0,0,ROUND(AS247*(1+'Your debts'!$D$13/1200),2))</f>
        <v/>
      </c>
      <c r="AP248" s="33">
        <f>IF(AO248&lt;=0,0,MIN('Your debts'!$E$13,AO248))</f>
        <v/>
      </c>
      <c r="AQ248" s="33">
        <f>AO248-AP248</f>
        <v/>
      </c>
      <c r="AR248" s="33">
        <f>IF('Your debts'!$F$13="",0,MIN(AQ248,MAX(0,MAX(0,'Your debts'!$C$19-(G248+L248+Q248+V248+AA248+AF248+AK248+AP248+AU248+AZ248))-(IF(AND('Your debts'!$F$6&lt;&gt;"",'Your debts'!$F$13&lt;&gt;"",'Your debts'!$F$6&lt;'Your debts'!$F$13),H248,0)+IF(AND('Your debts'!$F$7&lt;&gt;"",'Your debts'!$F$13&lt;&gt;"",'Your debts'!$F$7&lt;'Your debts'!$F$13),M248,0)+IF(AND('Your debts'!$F$8&lt;&gt;"",'Your debts'!$F$13&lt;&gt;"",'Your debts'!$F$8&lt;'Your debts'!$F$13),R248,0)+IF(AND('Your debts'!$F$9&lt;&gt;"",'Your debts'!$F$13&lt;&gt;"",'Your debts'!$F$9&lt;'Your debts'!$F$13),W248,0)+IF(AND('Your debts'!$F$10&lt;&gt;"",'Your debts'!$F$13&lt;&gt;"",'Your debts'!$F$10&lt;'Your debts'!$F$13),AB248,0)+IF(AND('Your debts'!$F$11&lt;&gt;"",'Your debts'!$F$13&lt;&gt;"",'Your debts'!$F$11&lt;'Your debts'!$F$13),AG248,0)+IF(AND('Your debts'!$F$12&lt;&gt;"",'Your debts'!$F$13&lt;&gt;"",'Your debts'!$F$12&lt;'Your debts'!$F$13),AL248,0)+IF(AND('Your debts'!$F$14&lt;&gt;"",'Your debts'!$F$13&lt;&gt;"",'Your debts'!$F$14&lt;'Your debts'!$F$13),AV248,0)+IF(AND('Your debts'!$F$15&lt;&gt;"",'Your debts'!$F$13&lt;&gt;"",'Your debts'!$F$15&lt;'Your debts'!$F$13),BA248,0)))))</f>
        <v/>
      </c>
      <c r="AS248" s="33">
        <f>AQ248-AR248</f>
        <v/>
      </c>
      <c r="AT248" s="33">
        <f>IF(AX247&lt;=0,0,ROUND(AX247*(1+'Your debts'!$D$14/1200),2))</f>
        <v/>
      </c>
      <c r="AU248" s="33">
        <f>IF(AT248&lt;=0,0,MIN('Your debts'!$E$14,AT248))</f>
        <v/>
      </c>
      <c r="AV248" s="33">
        <f>AT248-AU248</f>
        <v/>
      </c>
      <c r="AW248" s="33">
        <f>IF('Your debts'!$F$14="",0,MIN(AV248,MAX(0,MAX(0,'Your debts'!$C$19-(G248+L248+Q248+V248+AA248+AF248+AK248+AP248+AU248+AZ248))-(IF(AND('Your debts'!$F$6&lt;&gt;"",'Your debts'!$F$14&lt;&gt;"",'Your debts'!$F$6&lt;'Your debts'!$F$14),H248,0)+IF(AND('Your debts'!$F$7&lt;&gt;"",'Your debts'!$F$14&lt;&gt;"",'Your debts'!$F$7&lt;'Your debts'!$F$14),M248,0)+IF(AND('Your debts'!$F$8&lt;&gt;"",'Your debts'!$F$14&lt;&gt;"",'Your debts'!$F$8&lt;'Your debts'!$F$14),R248,0)+IF(AND('Your debts'!$F$9&lt;&gt;"",'Your debts'!$F$14&lt;&gt;"",'Your debts'!$F$9&lt;'Your debts'!$F$14),W248,0)+IF(AND('Your debts'!$F$10&lt;&gt;"",'Your debts'!$F$14&lt;&gt;"",'Your debts'!$F$10&lt;'Your debts'!$F$14),AB248,0)+IF(AND('Your debts'!$F$11&lt;&gt;"",'Your debts'!$F$14&lt;&gt;"",'Your debts'!$F$11&lt;'Your debts'!$F$14),AG248,0)+IF(AND('Your debts'!$F$12&lt;&gt;"",'Your debts'!$F$14&lt;&gt;"",'Your debts'!$F$12&lt;'Your debts'!$F$14),AL248,0)+IF(AND('Your debts'!$F$13&lt;&gt;"",'Your debts'!$F$14&lt;&gt;"",'Your debts'!$F$13&lt;'Your debts'!$F$14),AQ248,0)+IF(AND('Your debts'!$F$15&lt;&gt;"",'Your debts'!$F$14&lt;&gt;"",'Your debts'!$F$15&lt;'Your debts'!$F$14),BA248,0)))))</f>
        <v/>
      </c>
      <c r="AX248" s="33">
        <f>AV248-AW248</f>
        <v/>
      </c>
      <c r="AY248" s="33">
        <f>IF(BC247&lt;=0,0,ROUND(BC247*(1+'Your debts'!$D$15/1200),2))</f>
        <v/>
      </c>
      <c r="AZ248" s="33">
        <f>IF(AY248&lt;=0,0,MIN('Your debts'!$E$15,AY248))</f>
        <v/>
      </c>
      <c r="BA248" s="33">
        <f>AY248-AZ248</f>
        <v/>
      </c>
      <c r="BB248" s="33">
        <f>IF('Your debts'!$F$15="",0,MIN(BA248,MAX(0,MAX(0,'Your debts'!$C$19-(G248+L248+Q248+V248+AA248+AF248+AK248+AP248+AU248+AZ248))-(IF(AND('Your debts'!$F$6&lt;&gt;"",'Your debts'!$F$15&lt;&gt;"",'Your debts'!$F$6&lt;'Your debts'!$F$15),H248,0)+IF(AND('Your debts'!$F$7&lt;&gt;"",'Your debts'!$F$15&lt;&gt;"",'Your debts'!$F$7&lt;'Your debts'!$F$15),M248,0)+IF(AND('Your debts'!$F$8&lt;&gt;"",'Your debts'!$F$15&lt;&gt;"",'Your debts'!$F$8&lt;'Your debts'!$F$15),R248,0)+IF(AND('Your debts'!$F$9&lt;&gt;"",'Your debts'!$F$15&lt;&gt;"",'Your debts'!$F$9&lt;'Your debts'!$F$15),W248,0)+IF(AND('Your debts'!$F$10&lt;&gt;"",'Your debts'!$F$15&lt;&gt;"",'Your debts'!$F$10&lt;'Your debts'!$F$15),AB248,0)+IF(AND('Your debts'!$F$11&lt;&gt;"",'Your debts'!$F$15&lt;&gt;"",'Your debts'!$F$11&lt;'Your debts'!$F$15),AG248,0)+IF(AND('Your debts'!$F$12&lt;&gt;"",'Your debts'!$F$15&lt;&gt;"",'Your debts'!$F$12&lt;'Your debts'!$F$15),AL248,0)+IF(AND('Your debts'!$F$13&lt;&gt;"",'Your debts'!$F$15&lt;&gt;"",'Your debts'!$F$13&lt;'Your debts'!$F$15),AQ248,0)+IF(AND('Your debts'!$F$14&lt;&gt;"",'Your debts'!$F$15&lt;&gt;"",'Your debts'!$F$14&lt;'Your debts'!$F$15),AV248,0)))))</f>
        <v/>
      </c>
      <c r="BC248" s="33">
        <f>BA248-BB248</f>
        <v/>
      </c>
    </row>
    <row r="249">
      <c r="A249" s="30" t="n">
        <v>234</v>
      </c>
      <c r="B249" s="31">
        <f>EDATE($B$15,234)</f>
        <v/>
      </c>
      <c r="C249" s="32">
        <f>IF(J248&lt;=0,0,F249-J248)+IF(O248&lt;=0,0,K249-O248)+IF(T248&lt;=0,0,P249-T248)+IF(Y248&lt;=0,0,U249-Y248)+IF(AD248&lt;=0,0,Z249-AD248)+IF(AI248&lt;=0,0,AE249-AI248)+IF(AN248&lt;=0,0,AJ249-AN248)+IF(AS248&lt;=0,0,AO249-AS248)+IF(AX248&lt;=0,0,AT249-AX248)+IF(BC248&lt;=0,0,AY249-BC248)</f>
        <v/>
      </c>
      <c r="D249" s="32">
        <f>G249+I249+L249+N249+Q249+S249+V249+X249+AA249+AC249+AF249+AH249+AK249+AM249+AP249+AR249+AU249+AW249+AZ249+BB249</f>
        <v/>
      </c>
      <c r="E249" s="32">
        <f>J249+O249+T249+Y249+AD249+AI249+AN249+AS249+AX249+BC249</f>
        <v/>
      </c>
      <c r="F249" s="33">
        <f>IF(J248&lt;=0,0,ROUND(J248*(1+'Your debts'!$D$6/1200),2))</f>
        <v/>
      </c>
      <c r="G249" s="33">
        <f>IF(F249&lt;=0,0,MIN('Your debts'!$E$6,F249))</f>
        <v/>
      </c>
      <c r="H249" s="33">
        <f>F249-G249</f>
        <v/>
      </c>
      <c r="I249" s="33">
        <f>IF('Your debts'!$F$6="",0,MIN(H249,MAX(0,MAX(0,'Your debts'!$C$19-(G249+L249+Q249+V249+AA249+AF249+AK249+AP249+AU249+AZ249))-(IF(AND('Your debts'!$F$7&lt;&gt;"",'Your debts'!$F$6&lt;&gt;"",'Your debts'!$F$7&lt;'Your debts'!$F$6),M249,0)+IF(AND('Your debts'!$F$8&lt;&gt;"",'Your debts'!$F$6&lt;&gt;"",'Your debts'!$F$8&lt;'Your debts'!$F$6),R249,0)+IF(AND('Your debts'!$F$9&lt;&gt;"",'Your debts'!$F$6&lt;&gt;"",'Your debts'!$F$9&lt;'Your debts'!$F$6),W249,0)+IF(AND('Your debts'!$F$10&lt;&gt;"",'Your debts'!$F$6&lt;&gt;"",'Your debts'!$F$10&lt;'Your debts'!$F$6),AB249,0)+IF(AND('Your debts'!$F$11&lt;&gt;"",'Your debts'!$F$6&lt;&gt;"",'Your debts'!$F$11&lt;'Your debts'!$F$6),AG249,0)+IF(AND('Your debts'!$F$12&lt;&gt;"",'Your debts'!$F$6&lt;&gt;"",'Your debts'!$F$12&lt;'Your debts'!$F$6),AL249,0)+IF(AND('Your debts'!$F$13&lt;&gt;"",'Your debts'!$F$6&lt;&gt;"",'Your debts'!$F$13&lt;'Your debts'!$F$6),AQ249,0)+IF(AND('Your debts'!$F$14&lt;&gt;"",'Your debts'!$F$6&lt;&gt;"",'Your debts'!$F$14&lt;'Your debts'!$F$6),AV249,0)+IF(AND('Your debts'!$F$15&lt;&gt;"",'Your debts'!$F$6&lt;&gt;"",'Your debts'!$F$15&lt;'Your debts'!$F$6),BA249,0)))))</f>
        <v/>
      </c>
      <c r="J249" s="33">
        <f>H249-I249</f>
        <v/>
      </c>
      <c r="K249" s="33">
        <f>IF(O248&lt;=0,0,ROUND(O248*(1+'Your debts'!$D$7/1200),2))</f>
        <v/>
      </c>
      <c r="L249" s="33">
        <f>IF(K249&lt;=0,0,MIN('Your debts'!$E$7,K249))</f>
        <v/>
      </c>
      <c r="M249" s="33">
        <f>K249-L249</f>
        <v/>
      </c>
      <c r="N249" s="33">
        <f>IF('Your debts'!$F$7="",0,MIN(M249,MAX(0,MAX(0,'Your debts'!$C$19-(G249+L249+Q249+V249+AA249+AF249+AK249+AP249+AU249+AZ249))-(IF(AND('Your debts'!$F$6&lt;&gt;"",'Your debts'!$F$7&lt;&gt;"",'Your debts'!$F$6&lt;'Your debts'!$F$7),H249,0)+IF(AND('Your debts'!$F$8&lt;&gt;"",'Your debts'!$F$7&lt;&gt;"",'Your debts'!$F$8&lt;'Your debts'!$F$7),R249,0)+IF(AND('Your debts'!$F$9&lt;&gt;"",'Your debts'!$F$7&lt;&gt;"",'Your debts'!$F$9&lt;'Your debts'!$F$7),W249,0)+IF(AND('Your debts'!$F$10&lt;&gt;"",'Your debts'!$F$7&lt;&gt;"",'Your debts'!$F$10&lt;'Your debts'!$F$7),AB249,0)+IF(AND('Your debts'!$F$11&lt;&gt;"",'Your debts'!$F$7&lt;&gt;"",'Your debts'!$F$11&lt;'Your debts'!$F$7),AG249,0)+IF(AND('Your debts'!$F$12&lt;&gt;"",'Your debts'!$F$7&lt;&gt;"",'Your debts'!$F$12&lt;'Your debts'!$F$7),AL249,0)+IF(AND('Your debts'!$F$13&lt;&gt;"",'Your debts'!$F$7&lt;&gt;"",'Your debts'!$F$13&lt;'Your debts'!$F$7),AQ249,0)+IF(AND('Your debts'!$F$14&lt;&gt;"",'Your debts'!$F$7&lt;&gt;"",'Your debts'!$F$14&lt;'Your debts'!$F$7),AV249,0)+IF(AND('Your debts'!$F$15&lt;&gt;"",'Your debts'!$F$7&lt;&gt;"",'Your debts'!$F$15&lt;'Your debts'!$F$7),BA249,0)))))</f>
        <v/>
      </c>
      <c r="O249" s="33">
        <f>M249-N249</f>
        <v/>
      </c>
      <c r="P249" s="33">
        <f>IF(T248&lt;=0,0,ROUND(T248*(1+'Your debts'!$D$8/1200),2))</f>
        <v/>
      </c>
      <c r="Q249" s="33">
        <f>IF(P249&lt;=0,0,MIN('Your debts'!$E$8,P249))</f>
        <v/>
      </c>
      <c r="R249" s="33">
        <f>P249-Q249</f>
        <v/>
      </c>
      <c r="S249" s="33">
        <f>IF('Your debts'!$F$8="",0,MIN(R249,MAX(0,MAX(0,'Your debts'!$C$19-(G249+L249+Q249+V249+AA249+AF249+AK249+AP249+AU249+AZ249))-(IF(AND('Your debts'!$F$6&lt;&gt;"",'Your debts'!$F$8&lt;&gt;"",'Your debts'!$F$6&lt;'Your debts'!$F$8),H249,0)+IF(AND('Your debts'!$F$7&lt;&gt;"",'Your debts'!$F$8&lt;&gt;"",'Your debts'!$F$7&lt;'Your debts'!$F$8),M249,0)+IF(AND('Your debts'!$F$9&lt;&gt;"",'Your debts'!$F$8&lt;&gt;"",'Your debts'!$F$9&lt;'Your debts'!$F$8),W249,0)+IF(AND('Your debts'!$F$10&lt;&gt;"",'Your debts'!$F$8&lt;&gt;"",'Your debts'!$F$10&lt;'Your debts'!$F$8),AB249,0)+IF(AND('Your debts'!$F$11&lt;&gt;"",'Your debts'!$F$8&lt;&gt;"",'Your debts'!$F$11&lt;'Your debts'!$F$8),AG249,0)+IF(AND('Your debts'!$F$12&lt;&gt;"",'Your debts'!$F$8&lt;&gt;"",'Your debts'!$F$12&lt;'Your debts'!$F$8),AL249,0)+IF(AND('Your debts'!$F$13&lt;&gt;"",'Your debts'!$F$8&lt;&gt;"",'Your debts'!$F$13&lt;'Your debts'!$F$8),AQ249,0)+IF(AND('Your debts'!$F$14&lt;&gt;"",'Your debts'!$F$8&lt;&gt;"",'Your debts'!$F$14&lt;'Your debts'!$F$8),AV249,0)+IF(AND('Your debts'!$F$15&lt;&gt;"",'Your debts'!$F$8&lt;&gt;"",'Your debts'!$F$15&lt;'Your debts'!$F$8),BA249,0)))))</f>
        <v/>
      </c>
      <c r="T249" s="33">
        <f>R249-S249</f>
        <v/>
      </c>
      <c r="U249" s="33">
        <f>IF(Y248&lt;=0,0,ROUND(Y248*(1+'Your debts'!$D$9/1200),2))</f>
        <v/>
      </c>
      <c r="V249" s="33">
        <f>IF(U249&lt;=0,0,MIN('Your debts'!$E$9,U249))</f>
        <v/>
      </c>
      <c r="W249" s="33">
        <f>U249-V249</f>
        <v/>
      </c>
      <c r="X249" s="33">
        <f>IF('Your debts'!$F$9="",0,MIN(W249,MAX(0,MAX(0,'Your debts'!$C$19-(G249+L249+Q249+V249+AA249+AF249+AK249+AP249+AU249+AZ249))-(IF(AND('Your debts'!$F$6&lt;&gt;"",'Your debts'!$F$9&lt;&gt;"",'Your debts'!$F$6&lt;'Your debts'!$F$9),H249,0)+IF(AND('Your debts'!$F$7&lt;&gt;"",'Your debts'!$F$9&lt;&gt;"",'Your debts'!$F$7&lt;'Your debts'!$F$9),M249,0)+IF(AND('Your debts'!$F$8&lt;&gt;"",'Your debts'!$F$9&lt;&gt;"",'Your debts'!$F$8&lt;'Your debts'!$F$9),R249,0)+IF(AND('Your debts'!$F$10&lt;&gt;"",'Your debts'!$F$9&lt;&gt;"",'Your debts'!$F$10&lt;'Your debts'!$F$9),AB249,0)+IF(AND('Your debts'!$F$11&lt;&gt;"",'Your debts'!$F$9&lt;&gt;"",'Your debts'!$F$11&lt;'Your debts'!$F$9),AG249,0)+IF(AND('Your debts'!$F$12&lt;&gt;"",'Your debts'!$F$9&lt;&gt;"",'Your debts'!$F$12&lt;'Your debts'!$F$9),AL249,0)+IF(AND('Your debts'!$F$13&lt;&gt;"",'Your debts'!$F$9&lt;&gt;"",'Your debts'!$F$13&lt;'Your debts'!$F$9),AQ249,0)+IF(AND('Your debts'!$F$14&lt;&gt;"",'Your debts'!$F$9&lt;&gt;"",'Your debts'!$F$14&lt;'Your debts'!$F$9),AV249,0)+IF(AND('Your debts'!$F$15&lt;&gt;"",'Your debts'!$F$9&lt;&gt;"",'Your debts'!$F$15&lt;'Your debts'!$F$9),BA249,0)))))</f>
        <v/>
      </c>
      <c r="Y249" s="33">
        <f>W249-X249</f>
        <v/>
      </c>
      <c r="Z249" s="33">
        <f>IF(AD248&lt;=0,0,ROUND(AD248*(1+'Your debts'!$D$10/1200),2))</f>
        <v/>
      </c>
      <c r="AA249" s="33">
        <f>IF(Z249&lt;=0,0,MIN('Your debts'!$E$10,Z249))</f>
        <v/>
      </c>
      <c r="AB249" s="33">
        <f>Z249-AA249</f>
        <v/>
      </c>
      <c r="AC249" s="33">
        <f>IF('Your debts'!$F$10="",0,MIN(AB249,MAX(0,MAX(0,'Your debts'!$C$19-(G249+L249+Q249+V249+AA249+AF249+AK249+AP249+AU249+AZ249))-(IF(AND('Your debts'!$F$6&lt;&gt;"",'Your debts'!$F$10&lt;&gt;"",'Your debts'!$F$6&lt;'Your debts'!$F$10),H249,0)+IF(AND('Your debts'!$F$7&lt;&gt;"",'Your debts'!$F$10&lt;&gt;"",'Your debts'!$F$7&lt;'Your debts'!$F$10),M249,0)+IF(AND('Your debts'!$F$8&lt;&gt;"",'Your debts'!$F$10&lt;&gt;"",'Your debts'!$F$8&lt;'Your debts'!$F$10),R249,0)+IF(AND('Your debts'!$F$9&lt;&gt;"",'Your debts'!$F$10&lt;&gt;"",'Your debts'!$F$9&lt;'Your debts'!$F$10),W249,0)+IF(AND('Your debts'!$F$11&lt;&gt;"",'Your debts'!$F$10&lt;&gt;"",'Your debts'!$F$11&lt;'Your debts'!$F$10),AG249,0)+IF(AND('Your debts'!$F$12&lt;&gt;"",'Your debts'!$F$10&lt;&gt;"",'Your debts'!$F$12&lt;'Your debts'!$F$10),AL249,0)+IF(AND('Your debts'!$F$13&lt;&gt;"",'Your debts'!$F$10&lt;&gt;"",'Your debts'!$F$13&lt;'Your debts'!$F$10),AQ249,0)+IF(AND('Your debts'!$F$14&lt;&gt;"",'Your debts'!$F$10&lt;&gt;"",'Your debts'!$F$14&lt;'Your debts'!$F$10),AV249,0)+IF(AND('Your debts'!$F$15&lt;&gt;"",'Your debts'!$F$10&lt;&gt;"",'Your debts'!$F$15&lt;'Your debts'!$F$10),BA249,0)))))</f>
        <v/>
      </c>
      <c r="AD249" s="33">
        <f>AB249-AC249</f>
        <v/>
      </c>
      <c r="AE249" s="33">
        <f>IF(AI248&lt;=0,0,ROUND(AI248*(1+'Your debts'!$D$11/1200),2))</f>
        <v/>
      </c>
      <c r="AF249" s="33">
        <f>IF(AE249&lt;=0,0,MIN('Your debts'!$E$11,AE249))</f>
        <v/>
      </c>
      <c r="AG249" s="33">
        <f>AE249-AF249</f>
        <v/>
      </c>
      <c r="AH249" s="33">
        <f>IF('Your debts'!$F$11="",0,MIN(AG249,MAX(0,MAX(0,'Your debts'!$C$19-(G249+L249+Q249+V249+AA249+AF249+AK249+AP249+AU249+AZ249))-(IF(AND('Your debts'!$F$6&lt;&gt;"",'Your debts'!$F$11&lt;&gt;"",'Your debts'!$F$6&lt;'Your debts'!$F$11),H249,0)+IF(AND('Your debts'!$F$7&lt;&gt;"",'Your debts'!$F$11&lt;&gt;"",'Your debts'!$F$7&lt;'Your debts'!$F$11),M249,0)+IF(AND('Your debts'!$F$8&lt;&gt;"",'Your debts'!$F$11&lt;&gt;"",'Your debts'!$F$8&lt;'Your debts'!$F$11),R249,0)+IF(AND('Your debts'!$F$9&lt;&gt;"",'Your debts'!$F$11&lt;&gt;"",'Your debts'!$F$9&lt;'Your debts'!$F$11),W249,0)+IF(AND('Your debts'!$F$10&lt;&gt;"",'Your debts'!$F$11&lt;&gt;"",'Your debts'!$F$10&lt;'Your debts'!$F$11),AB249,0)+IF(AND('Your debts'!$F$12&lt;&gt;"",'Your debts'!$F$11&lt;&gt;"",'Your debts'!$F$12&lt;'Your debts'!$F$11),AL249,0)+IF(AND('Your debts'!$F$13&lt;&gt;"",'Your debts'!$F$11&lt;&gt;"",'Your debts'!$F$13&lt;'Your debts'!$F$11),AQ249,0)+IF(AND('Your debts'!$F$14&lt;&gt;"",'Your debts'!$F$11&lt;&gt;"",'Your debts'!$F$14&lt;'Your debts'!$F$11),AV249,0)+IF(AND('Your debts'!$F$15&lt;&gt;"",'Your debts'!$F$11&lt;&gt;"",'Your debts'!$F$15&lt;'Your debts'!$F$11),BA249,0)))))</f>
        <v/>
      </c>
      <c r="AI249" s="33">
        <f>AG249-AH249</f>
        <v/>
      </c>
      <c r="AJ249" s="33">
        <f>IF(AN248&lt;=0,0,ROUND(AN248*(1+'Your debts'!$D$12/1200),2))</f>
        <v/>
      </c>
      <c r="AK249" s="33">
        <f>IF(AJ249&lt;=0,0,MIN('Your debts'!$E$12,AJ249))</f>
        <v/>
      </c>
      <c r="AL249" s="33">
        <f>AJ249-AK249</f>
        <v/>
      </c>
      <c r="AM249" s="33">
        <f>IF('Your debts'!$F$12="",0,MIN(AL249,MAX(0,MAX(0,'Your debts'!$C$19-(G249+L249+Q249+V249+AA249+AF249+AK249+AP249+AU249+AZ249))-(IF(AND('Your debts'!$F$6&lt;&gt;"",'Your debts'!$F$12&lt;&gt;"",'Your debts'!$F$6&lt;'Your debts'!$F$12),H249,0)+IF(AND('Your debts'!$F$7&lt;&gt;"",'Your debts'!$F$12&lt;&gt;"",'Your debts'!$F$7&lt;'Your debts'!$F$12),M249,0)+IF(AND('Your debts'!$F$8&lt;&gt;"",'Your debts'!$F$12&lt;&gt;"",'Your debts'!$F$8&lt;'Your debts'!$F$12),R249,0)+IF(AND('Your debts'!$F$9&lt;&gt;"",'Your debts'!$F$12&lt;&gt;"",'Your debts'!$F$9&lt;'Your debts'!$F$12),W249,0)+IF(AND('Your debts'!$F$10&lt;&gt;"",'Your debts'!$F$12&lt;&gt;"",'Your debts'!$F$10&lt;'Your debts'!$F$12),AB249,0)+IF(AND('Your debts'!$F$11&lt;&gt;"",'Your debts'!$F$12&lt;&gt;"",'Your debts'!$F$11&lt;'Your debts'!$F$12),AG249,0)+IF(AND('Your debts'!$F$13&lt;&gt;"",'Your debts'!$F$12&lt;&gt;"",'Your debts'!$F$13&lt;'Your debts'!$F$12),AQ249,0)+IF(AND('Your debts'!$F$14&lt;&gt;"",'Your debts'!$F$12&lt;&gt;"",'Your debts'!$F$14&lt;'Your debts'!$F$12),AV249,0)+IF(AND('Your debts'!$F$15&lt;&gt;"",'Your debts'!$F$12&lt;&gt;"",'Your debts'!$F$15&lt;'Your debts'!$F$12),BA249,0)))))</f>
        <v/>
      </c>
      <c r="AN249" s="33">
        <f>AL249-AM249</f>
        <v/>
      </c>
      <c r="AO249" s="33">
        <f>IF(AS248&lt;=0,0,ROUND(AS248*(1+'Your debts'!$D$13/1200),2))</f>
        <v/>
      </c>
      <c r="AP249" s="33">
        <f>IF(AO249&lt;=0,0,MIN('Your debts'!$E$13,AO249))</f>
        <v/>
      </c>
      <c r="AQ249" s="33">
        <f>AO249-AP249</f>
        <v/>
      </c>
      <c r="AR249" s="33">
        <f>IF('Your debts'!$F$13="",0,MIN(AQ249,MAX(0,MAX(0,'Your debts'!$C$19-(G249+L249+Q249+V249+AA249+AF249+AK249+AP249+AU249+AZ249))-(IF(AND('Your debts'!$F$6&lt;&gt;"",'Your debts'!$F$13&lt;&gt;"",'Your debts'!$F$6&lt;'Your debts'!$F$13),H249,0)+IF(AND('Your debts'!$F$7&lt;&gt;"",'Your debts'!$F$13&lt;&gt;"",'Your debts'!$F$7&lt;'Your debts'!$F$13),M249,0)+IF(AND('Your debts'!$F$8&lt;&gt;"",'Your debts'!$F$13&lt;&gt;"",'Your debts'!$F$8&lt;'Your debts'!$F$13),R249,0)+IF(AND('Your debts'!$F$9&lt;&gt;"",'Your debts'!$F$13&lt;&gt;"",'Your debts'!$F$9&lt;'Your debts'!$F$13),W249,0)+IF(AND('Your debts'!$F$10&lt;&gt;"",'Your debts'!$F$13&lt;&gt;"",'Your debts'!$F$10&lt;'Your debts'!$F$13),AB249,0)+IF(AND('Your debts'!$F$11&lt;&gt;"",'Your debts'!$F$13&lt;&gt;"",'Your debts'!$F$11&lt;'Your debts'!$F$13),AG249,0)+IF(AND('Your debts'!$F$12&lt;&gt;"",'Your debts'!$F$13&lt;&gt;"",'Your debts'!$F$12&lt;'Your debts'!$F$13),AL249,0)+IF(AND('Your debts'!$F$14&lt;&gt;"",'Your debts'!$F$13&lt;&gt;"",'Your debts'!$F$14&lt;'Your debts'!$F$13),AV249,0)+IF(AND('Your debts'!$F$15&lt;&gt;"",'Your debts'!$F$13&lt;&gt;"",'Your debts'!$F$15&lt;'Your debts'!$F$13),BA249,0)))))</f>
        <v/>
      </c>
      <c r="AS249" s="33">
        <f>AQ249-AR249</f>
        <v/>
      </c>
      <c r="AT249" s="33">
        <f>IF(AX248&lt;=0,0,ROUND(AX248*(1+'Your debts'!$D$14/1200),2))</f>
        <v/>
      </c>
      <c r="AU249" s="33">
        <f>IF(AT249&lt;=0,0,MIN('Your debts'!$E$14,AT249))</f>
        <v/>
      </c>
      <c r="AV249" s="33">
        <f>AT249-AU249</f>
        <v/>
      </c>
      <c r="AW249" s="33">
        <f>IF('Your debts'!$F$14="",0,MIN(AV249,MAX(0,MAX(0,'Your debts'!$C$19-(G249+L249+Q249+V249+AA249+AF249+AK249+AP249+AU249+AZ249))-(IF(AND('Your debts'!$F$6&lt;&gt;"",'Your debts'!$F$14&lt;&gt;"",'Your debts'!$F$6&lt;'Your debts'!$F$14),H249,0)+IF(AND('Your debts'!$F$7&lt;&gt;"",'Your debts'!$F$14&lt;&gt;"",'Your debts'!$F$7&lt;'Your debts'!$F$14),M249,0)+IF(AND('Your debts'!$F$8&lt;&gt;"",'Your debts'!$F$14&lt;&gt;"",'Your debts'!$F$8&lt;'Your debts'!$F$14),R249,0)+IF(AND('Your debts'!$F$9&lt;&gt;"",'Your debts'!$F$14&lt;&gt;"",'Your debts'!$F$9&lt;'Your debts'!$F$14),W249,0)+IF(AND('Your debts'!$F$10&lt;&gt;"",'Your debts'!$F$14&lt;&gt;"",'Your debts'!$F$10&lt;'Your debts'!$F$14),AB249,0)+IF(AND('Your debts'!$F$11&lt;&gt;"",'Your debts'!$F$14&lt;&gt;"",'Your debts'!$F$11&lt;'Your debts'!$F$14),AG249,0)+IF(AND('Your debts'!$F$12&lt;&gt;"",'Your debts'!$F$14&lt;&gt;"",'Your debts'!$F$12&lt;'Your debts'!$F$14),AL249,0)+IF(AND('Your debts'!$F$13&lt;&gt;"",'Your debts'!$F$14&lt;&gt;"",'Your debts'!$F$13&lt;'Your debts'!$F$14),AQ249,0)+IF(AND('Your debts'!$F$15&lt;&gt;"",'Your debts'!$F$14&lt;&gt;"",'Your debts'!$F$15&lt;'Your debts'!$F$14),BA249,0)))))</f>
        <v/>
      </c>
      <c r="AX249" s="33">
        <f>AV249-AW249</f>
        <v/>
      </c>
      <c r="AY249" s="33">
        <f>IF(BC248&lt;=0,0,ROUND(BC248*(1+'Your debts'!$D$15/1200),2))</f>
        <v/>
      </c>
      <c r="AZ249" s="33">
        <f>IF(AY249&lt;=0,0,MIN('Your debts'!$E$15,AY249))</f>
        <v/>
      </c>
      <c r="BA249" s="33">
        <f>AY249-AZ249</f>
        <v/>
      </c>
      <c r="BB249" s="33">
        <f>IF('Your debts'!$F$15="",0,MIN(BA249,MAX(0,MAX(0,'Your debts'!$C$19-(G249+L249+Q249+V249+AA249+AF249+AK249+AP249+AU249+AZ249))-(IF(AND('Your debts'!$F$6&lt;&gt;"",'Your debts'!$F$15&lt;&gt;"",'Your debts'!$F$6&lt;'Your debts'!$F$15),H249,0)+IF(AND('Your debts'!$F$7&lt;&gt;"",'Your debts'!$F$15&lt;&gt;"",'Your debts'!$F$7&lt;'Your debts'!$F$15),M249,0)+IF(AND('Your debts'!$F$8&lt;&gt;"",'Your debts'!$F$15&lt;&gt;"",'Your debts'!$F$8&lt;'Your debts'!$F$15),R249,0)+IF(AND('Your debts'!$F$9&lt;&gt;"",'Your debts'!$F$15&lt;&gt;"",'Your debts'!$F$9&lt;'Your debts'!$F$15),W249,0)+IF(AND('Your debts'!$F$10&lt;&gt;"",'Your debts'!$F$15&lt;&gt;"",'Your debts'!$F$10&lt;'Your debts'!$F$15),AB249,0)+IF(AND('Your debts'!$F$11&lt;&gt;"",'Your debts'!$F$15&lt;&gt;"",'Your debts'!$F$11&lt;'Your debts'!$F$15),AG249,0)+IF(AND('Your debts'!$F$12&lt;&gt;"",'Your debts'!$F$15&lt;&gt;"",'Your debts'!$F$12&lt;'Your debts'!$F$15),AL249,0)+IF(AND('Your debts'!$F$13&lt;&gt;"",'Your debts'!$F$15&lt;&gt;"",'Your debts'!$F$13&lt;'Your debts'!$F$15),AQ249,0)+IF(AND('Your debts'!$F$14&lt;&gt;"",'Your debts'!$F$15&lt;&gt;"",'Your debts'!$F$14&lt;'Your debts'!$F$15),AV249,0)))))</f>
        <v/>
      </c>
      <c r="BC249" s="33">
        <f>BA249-BB249</f>
        <v/>
      </c>
    </row>
    <row r="250">
      <c r="A250" s="30" t="n">
        <v>235</v>
      </c>
      <c r="B250" s="31">
        <f>EDATE($B$15,235)</f>
        <v/>
      </c>
      <c r="C250" s="32">
        <f>IF(J249&lt;=0,0,F250-J249)+IF(O249&lt;=0,0,K250-O249)+IF(T249&lt;=0,0,P250-T249)+IF(Y249&lt;=0,0,U250-Y249)+IF(AD249&lt;=0,0,Z250-AD249)+IF(AI249&lt;=0,0,AE250-AI249)+IF(AN249&lt;=0,0,AJ250-AN249)+IF(AS249&lt;=0,0,AO250-AS249)+IF(AX249&lt;=0,0,AT250-AX249)+IF(BC249&lt;=0,0,AY250-BC249)</f>
        <v/>
      </c>
      <c r="D250" s="32">
        <f>G250+I250+L250+N250+Q250+S250+V250+X250+AA250+AC250+AF250+AH250+AK250+AM250+AP250+AR250+AU250+AW250+AZ250+BB250</f>
        <v/>
      </c>
      <c r="E250" s="32">
        <f>J250+O250+T250+Y250+AD250+AI250+AN250+AS250+AX250+BC250</f>
        <v/>
      </c>
      <c r="F250" s="33">
        <f>IF(J249&lt;=0,0,ROUND(J249*(1+'Your debts'!$D$6/1200),2))</f>
        <v/>
      </c>
      <c r="G250" s="33">
        <f>IF(F250&lt;=0,0,MIN('Your debts'!$E$6,F250))</f>
        <v/>
      </c>
      <c r="H250" s="33">
        <f>F250-G250</f>
        <v/>
      </c>
      <c r="I250" s="33">
        <f>IF('Your debts'!$F$6="",0,MIN(H250,MAX(0,MAX(0,'Your debts'!$C$19-(G250+L250+Q250+V250+AA250+AF250+AK250+AP250+AU250+AZ250))-(IF(AND('Your debts'!$F$7&lt;&gt;"",'Your debts'!$F$6&lt;&gt;"",'Your debts'!$F$7&lt;'Your debts'!$F$6),M250,0)+IF(AND('Your debts'!$F$8&lt;&gt;"",'Your debts'!$F$6&lt;&gt;"",'Your debts'!$F$8&lt;'Your debts'!$F$6),R250,0)+IF(AND('Your debts'!$F$9&lt;&gt;"",'Your debts'!$F$6&lt;&gt;"",'Your debts'!$F$9&lt;'Your debts'!$F$6),W250,0)+IF(AND('Your debts'!$F$10&lt;&gt;"",'Your debts'!$F$6&lt;&gt;"",'Your debts'!$F$10&lt;'Your debts'!$F$6),AB250,0)+IF(AND('Your debts'!$F$11&lt;&gt;"",'Your debts'!$F$6&lt;&gt;"",'Your debts'!$F$11&lt;'Your debts'!$F$6),AG250,0)+IF(AND('Your debts'!$F$12&lt;&gt;"",'Your debts'!$F$6&lt;&gt;"",'Your debts'!$F$12&lt;'Your debts'!$F$6),AL250,0)+IF(AND('Your debts'!$F$13&lt;&gt;"",'Your debts'!$F$6&lt;&gt;"",'Your debts'!$F$13&lt;'Your debts'!$F$6),AQ250,0)+IF(AND('Your debts'!$F$14&lt;&gt;"",'Your debts'!$F$6&lt;&gt;"",'Your debts'!$F$14&lt;'Your debts'!$F$6),AV250,0)+IF(AND('Your debts'!$F$15&lt;&gt;"",'Your debts'!$F$6&lt;&gt;"",'Your debts'!$F$15&lt;'Your debts'!$F$6),BA250,0)))))</f>
        <v/>
      </c>
      <c r="J250" s="33">
        <f>H250-I250</f>
        <v/>
      </c>
      <c r="K250" s="33">
        <f>IF(O249&lt;=0,0,ROUND(O249*(1+'Your debts'!$D$7/1200),2))</f>
        <v/>
      </c>
      <c r="L250" s="33">
        <f>IF(K250&lt;=0,0,MIN('Your debts'!$E$7,K250))</f>
        <v/>
      </c>
      <c r="M250" s="33">
        <f>K250-L250</f>
        <v/>
      </c>
      <c r="N250" s="33">
        <f>IF('Your debts'!$F$7="",0,MIN(M250,MAX(0,MAX(0,'Your debts'!$C$19-(G250+L250+Q250+V250+AA250+AF250+AK250+AP250+AU250+AZ250))-(IF(AND('Your debts'!$F$6&lt;&gt;"",'Your debts'!$F$7&lt;&gt;"",'Your debts'!$F$6&lt;'Your debts'!$F$7),H250,0)+IF(AND('Your debts'!$F$8&lt;&gt;"",'Your debts'!$F$7&lt;&gt;"",'Your debts'!$F$8&lt;'Your debts'!$F$7),R250,0)+IF(AND('Your debts'!$F$9&lt;&gt;"",'Your debts'!$F$7&lt;&gt;"",'Your debts'!$F$9&lt;'Your debts'!$F$7),W250,0)+IF(AND('Your debts'!$F$10&lt;&gt;"",'Your debts'!$F$7&lt;&gt;"",'Your debts'!$F$10&lt;'Your debts'!$F$7),AB250,0)+IF(AND('Your debts'!$F$11&lt;&gt;"",'Your debts'!$F$7&lt;&gt;"",'Your debts'!$F$11&lt;'Your debts'!$F$7),AG250,0)+IF(AND('Your debts'!$F$12&lt;&gt;"",'Your debts'!$F$7&lt;&gt;"",'Your debts'!$F$12&lt;'Your debts'!$F$7),AL250,0)+IF(AND('Your debts'!$F$13&lt;&gt;"",'Your debts'!$F$7&lt;&gt;"",'Your debts'!$F$13&lt;'Your debts'!$F$7),AQ250,0)+IF(AND('Your debts'!$F$14&lt;&gt;"",'Your debts'!$F$7&lt;&gt;"",'Your debts'!$F$14&lt;'Your debts'!$F$7),AV250,0)+IF(AND('Your debts'!$F$15&lt;&gt;"",'Your debts'!$F$7&lt;&gt;"",'Your debts'!$F$15&lt;'Your debts'!$F$7),BA250,0)))))</f>
        <v/>
      </c>
      <c r="O250" s="33">
        <f>M250-N250</f>
        <v/>
      </c>
      <c r="P250" s="33">
        <f>IF(T249&lt;=0,0,ROUND(T249*(1+'Your debts'!$D$8/1200),2))</f>
        <v/>
      </c>
      <c r="Q250" s="33">
        <f>IF(P250&lt;=0,0,MIN('Your debts'!$E$8,P250))</f>
        <v/>
      </c>
      <c r="R250" s="33">
        <f>P250-Q250</f>
        <v/>
      </c>
      <c r="S250" s="33">
        <f>IF('Your debts'!$F$8="",0,MIN(R250,MAX(0,MAX(0,'Your debts'!$C$19-(G250+L250+Q250+V250+AA250+AF250+AK250+AP250+AU250+AZ250))-(IF(AND('Your debts'!$F$6&lt;&gt;"",'Your debts'!$F$8&lt;&gt;"",'Your debts'!$F$6&lt;'Your debts'!$F$8),H250,0)+IF(AND('Your debts'!$F$7&lt;&gt;"",'Your debts'!$F$8&lt;&gt;"",'Your debts'!$F$7&lt;'Your debts'!$F$8),M250,0)+IF(AND('Your debts'!$F$9&lt;&gt;"",'Your debts'!$F$8&lt;&gt;"",'Your debts'!$F$9&lt;'Your debts'!$F$8),W250,0)+IF(AND('Your debts'!$F$10&lt;&gt;"",'Your debts'!$F$8&lt;&gt;"",'Your debts'!$F$10&lt;'Your debts'!$F$8),AB250,0)+IF(AND('Your debts'!$F$11&lt;&gt;"",'Your debts'!$F$8&lt;&gt;"",'Your debts'!$F$11&lt;'Your debts'!$F$8),AG250,0)+IF(AND('Your debts'!$F$12&lt;&gt;"",'Your debts'!$F$8&lt;&gt;"",'Your debts'!$F$12&lt;'Your debts'!$F$8),AL250,0)+IF(AND('Your debts'!$F$13&lt;&gt;"",'Your debts'!$F$8&lt;&gt;"",'Your debts'!$F$13&lt;'Your debts'!$F$8),AQ250,0)+IF(AND('Your debts'!$F$14&lt;&gt;"",'Your debts'!$F$8&lt;&gt;"",'Your debts'!$F$14&lt;'Your debts'!$F$8),AV250,0)+IF(AND('Your debts'!$F$15&lt;&gt;"",'Your debts'!$F$8&lt;&gt;"",'Your debts'!$F$15&lt;'Your debts'!$F$8),BA250,0)))))</f>
        <v/>
      </c>
      <c r="T250" s="33">
        <f>R250-S250</f>
        <v/>
      </c>
      <c r="U250" s="33">
        <f>IF(Y249&lt;=0,0,ROUND(Y249*(1+'Your debts'!$D$9/1200),2))</f>
        <v/>
      </c>
      <c r="V250" s="33">
        <f>IF(U250&lt;=0,0,MIN('Your debts'!$E$9,U250))</f>
        <v/>
      </c>
      <c r="W250" s="33">
        <f>U250-V250</f>
        <v/>
      </c>
      <c r="X250" s="33">
        <f>IF('Your debts'!$F$9="",0,MIN(W250,MAX(0,MAX(0,'Your debts'!$C$19-(G250+L250+Q250+V250+AA250+AF250+AK250+AP250+AU250+AZ250))-(IF(AND('Your debts'!$F$6&lt;&gt;"",'Your debts'!$F$9&lt;&gt;"",'Your debts'!$F$6&lt;'Your debts'!$F$9),H250,0)+IF(AND('Your debts'!$F$7&lt;&gt;"",'Your debts'!$F$9&lt;&gt;"",'Your debts'!$F$7&lt;'Your debts'!$F$9),M250,0)+IF(AND('Your debts'!$F$8&lt;&gt;"",'Your debts'!$F$9&lt;&gt;"",'Your debts'!$F$8&lt;'Your debts'!$F$9),R250,0)+IF(AND('Your debts'!$F$10&lt;&gt;"",'Your debts'!$F$9&lt;&gt;"",'Your debts'!$F$10&lt;'Your debts'!$F$9),AB250,0)+IF(AND('Your debts'!$F$11&lt;&gt;"",'Your debts'!$F$9&lt;&gt;"",'Your debts'!$F$11&lt;'Your debts'!$F$9),AG250,0)+IF(AND('Your debts'!$F$12&lt;&gt;"",'Your debts'!$F$9&lt;&gt;"",'Your debts'!$F$12&lt;'Your debts'!$F$9),AL250,0)+IF(AND('Your debts'!$F$13&lt;&gt;"",'Your debts'!$F$9&lt;&gt;"",'Your debts'!$F$13&lt;'Your debts'!$F$9),AQ250,0)+IF(AND('Your debts'!$F$14&lt;&gt;"",'Your debts'!$F$9&lt;&gt;"",'Your debts'!$F$14&lt;'Your debts'!$F$9),AV250,0)+IF(AND('Your debts'!$F$15&lt;&gt;"",'Your debts'!$F$9&lt;&gt;"",'Your debts'!$F$15&lt;'Your debts'!$F$9),BA250,0)))))</f>
        <v/>
      </c>
      <c r="Y250" s="33">
        <f>W250-X250</f>
        <v/>
      </c>
      <c r="Z250" s="33">
        <f>IF(AD249&lt;=0,0,ROUND(AD249*(1+'Your debts'!$D$10/1200),2))</f>
        <v/>
      </c>
      <c r="AA250" s="33">
        <f>IF(Z250&lt;=0,0,MIN('Your debts'!$E$10,Z250))</f>
        <v/>
      </c>
      <c r="AB250" s="33">
        <f>Z250-AA250</f>
        <v/>
      </c>
      <c r="AC250" s="33">
        <f>IF('Your debts'!$F$10="",0,MIN(AB250,MAX(0,MAX(0,'Your debts'!$C$19-(G250+L250+Q250+V250+AA250+AF250+AK250+AP250+AU250+AZ250))-(IF(AND('Your debts'!$F$6&lt;&gt;"",'Your debts'!$F$10&lt;&gt;"",'Your debts'!$F$6&lt;'Your debts'!$F$10),H250,0)+IF(AND('Your debts'!$F$7&lt;&gt;"",'Your debts'!$F$10&lt;&gt;"",'Your debts'!$F$7&lt;'Your debts'!$F$10),M250,0)+IF(AND('Your debts'!$F$8&lt;&gt;"",'Your debts'!$F$10&lt;&gt;"",'Your debts'!$F$8&lt;'Your debts'!$F$10),R250,0)+IF(AND('Your debts'!$F$9&lt;&gt;"",'Your debts'!$F$10&lt;&gt;"",'Your debts'!$F$9&lt;'Your debts'!$F$10),W250,0)+IF(AND('Your debts'!$F$11&lt;&gt;"",'Your debts'!$F$10&lt;&gt;"",'Your debts'!$F$11&lt;'Your debts'!$F$10),AG250,0)+IF(AND('Your debts'!$F$12&lt;&gt;"",'Your debts'!$F$10&lt;&gt;"",'Your debts'!$F$12&lt;'Your debts'!$F$10),AL250,0)+IF(AND('Your debts'!$F$13&lt;&gt;"",'Your debts'!$F$10&lt;&gt;"",'Your debts'!$F$13&lt;'Your debts'!$F$10),AQ250,0)+IF(AND('Your debts'!$F$14&lt;&gt;"",'Your debts'!$F$10&lt;&gt;"",'Your debts'!$F$14&lt;'Your debts'!$F$10),AV250,0)+IF(AND('Your debts'!$F$15&lt;&gt;"",'Your debts'!$F$10&lt;&gt;"",'Your debts'!$F$15&lt;'Your debts'!$F$10),BA250,0)))))</f>
        <v/>
      </c>
      <c r="AD250" s="33">
        <f>AB250-AC250</f>
        <v/>
      </c>
      <c r="AE250" s="33">
        <f>IF(AI249&lt;=0,0,ROUND(AI249*(1+'Your debts'!$D$11/1200),2))</f>
        <v/>
      </c>
      <c r="AF250" s="33">
        <f>IF(AE250&lt;=0,0,MIN('Your debts'!$E$11,AE250))</f>
        <v/>
      </c>
      <c r="AG250" s="33">
        <f>AE250-AF250</f>
        <v/>
      </c>
      <c r="AH250" s="33">
        <f>IF('Your debts'!$F$11="",0,MIN(AG250,MAX(0,MAX(0,'Your debts'!$C$19-(G250+L250+Q250+V250+AA250+AF250+AK250+AP250+AU250+AZ250))-(IF(AND('Your debts'!$F$6&lt;&gt;"",'Your debts'!$F$11&lt;&gt;"",'Your debts'!$F$6&lt;'Your debts'!$F$11),H250,0)+IF(AND('Your debts'!$F$7&lt;&gt;"",'Your debts'!$F$11&lt;&gt;"",'Your debts'!$F$7&lt;'Your debts'!$F$11),M250,0)+IF(AND('Your debts'!$F$8&lt;&gt;"",'Your debts'!$F$11&lt;&gt;"",'Your debts'!$F$8&lt;'Your debts'!$F$11),R250,0)+IF(AND('Your debts'!$F$9&lt;&gt;"",'Your debts'!$F$11&lt;&gt;"",'Your debts'!$F$9&lt;'Your debts'!$F$11),W250,0)+IF(AND('Your debts'!$F$10&lt;&gt;"",'Your debts'!$F$11&lt;&gt;"",'Your debts'!$F$10&lt;'Your debts'!$F$11),AB250,0)+IF(AND('Your debts'!$F$12&lt;&gt;"",'Your debts'!$F$11&lt;&gt;"",'Your debts'!$F$12&lt;'Your debts'!$F$11),AL250,0)+IF(AND('Your debts'!$F$13&lt;&gt;"",'Your debts'!$F$11&lt;&gt;"",'Your debts'!$F$13&lt;'Your debts'!$F$11),AQ250,0)+IF(AND('Your debts'!$F$14&lt;&gt;"",'Your debts'!$F$11&lt;&gt;"",'Your debts'!$F$14&lt;'Your debts'!$F$11),AV250,0)+IF(AND('Your debts'!$F$15&lt;&gt;"",'Your debts'!$F$11&lt;&gt;"",'Your debts'!$F$15&lt;'Your debts'!$F$11),BA250,0)))))</f>
        <v/>
      </c>
      <c r="AI250" s="33">
        <f>AG250-AH250</f>
        <v/>
      </c>
      <c r="AJ250" s="33">
        <f>IF(AN249&lt;=0,0,ROUND(AN249*(1+'Your debts'!$D$12/1200),2))</f>
        <v/>
      </c>
      <c r="AK250" s="33">
        <f>IF(AJ250&lt;=0,0,MIN('Your debts'!$E$12,AJ250))</f>
        <v/>
      </c>
      <c r="AL250" s="33">
        <f>AJ250-AK250</f>
        <v/>
      </c>
      <c r="AM250" s="33">
        <f>IF('Your debts'!$F$12="",0,MIN(AL250,MAX(0,MAX(0,'Your debts'!$C$19-(G250+L250+Q250+V250+AA250+AF250+AK250+AP250+AU250+AZ250))-(IF(AND('Your debts'!$F$6&lt;&gt;"",'Your debts'!$F$12&lt;&gt;"",'Your debts'!$F$6&lt;'Your debts'!$F$12),H250,0)+IF(AND('Your debts'!$F$7&lt;&gt;"",'Your debts'!$F$12&lt;&gt;"",'Your debts'!$F$7&lt;'Your debts'!$F$12),M250,0)+IF(AND('Your debts'!$F$8&lt;&gt;"",'Your debts'!$F$12&lt;&gt;"",'Your debts'!$F$8&lt;'Your debts'!$F$12),R250,0)+IF(AND('Your debts'!$F$9&lt;&gt;"",'Your debts'!$F$12&lt;&gt;"",'Your debts'!$F$9&lt;'Your debts'!$F$12),W250,0)+IF(AND('Your debts'!$F$10&lt;&gt;"",'Your debts'!$F$12&lt;&gt;"",'Your debts'!$F$10&lt;'Your debts'!$F$12),AB250,0)+IF(AND('Your debts'!$F$11&lt;&gt;"",'Your debts'!$F$12&lt;&gt;"",'Your debts'!$F$11&lt;'Your debts'!$F$12),AG250,0)+IF(AND('Your debts'!$F$13&lt;&gt;"",'Your debts'!$F$12&lt;&gt;"",'Your debts'!$F$13&lt;'Your debts'!$F$12),AQ250,0)+IF(AND('Your debts'!$F$14&lt;&gt;"",'Your debts'!$F$12&lt;&gt;"",'Your debts'!$F$14&lt;'Your debts'!$F$12),AV250,0)+IF(AND('Your debts'!$F$15&lt;&gt;"",'Your debts'!$F$12&lt;&gt;"",'Your debts'!$F$15&lt;'Your debts'!$F$12),BA250,0)))))</f>
        <v/>
      </c>
      <c r="AN250" s="33">
        <f>AL250-AM250</f>
        <v/>
      </c>
      <c r="AO250" s="33">
        <f>IF(AS249&lt;=0,0,ROUND(AS249*(1+'Your debts'!$D$13/1200),2))</f>
        <v/>
      </c>
      <c r="AP250" s="33">
        <f>IF(AO250&lt;=0,0,MIN('Your debts'!$E$13,AO250))</f>
        <v/>
      </c>
      <c r="AQ250" s="33">
        <f>AO250-AP250</f>
        <v/>
      </c>
      <c r="AR250" s="33">
        <f>IF('Your debts'!$F$13="",0,MIN(AQ250,MAX(0,MAX(0,'Your debts'!$C$19-(G250+L250+Q250+V250+AA250+AF250+AK250+AP250+AU250+AZ250))-(IF(AND('Your debts'!$F$6&lt;&gt;"",'Your debts'!$F$13&lt;&gt;"",'Your debts'!$F$6&lt;'Your debts'!$F$13),H250,0)+IF(AND('Your debts'!$F$7&lt;&gt;"",'Your debts'!$F$13&lt;&gt;"",'Your debts'!$F$7&lt;'Your debts'!$F$13),M250,0)+IF(AND('Your debts'!$F$8&lt;&gt;"",'Your debts'!$F$13&lt;&gt;"",'Your debts'!$F$8&lt;'Your debts'!$F$13),R250,0)+IF(AND('Your debts'!$F$9&lt;&gt;"",'Your debts'!$F$13&lt;&gt;"",'Your debts'!$F$9&lt;'Your debts'!$F$13),W250,0)+IF(AND('Your debts'!$F$10&lt;&gt;"",'Your debts'!$F$13&lt;&gt;"",'Your debts'!$F$10&lt;'Your debts'!$F$13),AB250,0)+IF(AND('Your debts'!$F$11&lt;&gt;"",'Your debts'!$F$13&lt;&gt;"",'Your debts'!$F$11&lt;'Your debts'!$F$13),AG250,0)+IF(AND('Your debts'!$F$12&lt;&gt;"",'Your debts'!$F$13&lt;&gt;"",'Your debts'!$F$12&lt;'Your debts'!$F$13),AL250,0)+IF(AND('Your debts'!$F$14&lt;&gt;"",'Your debts'!$F$13&lt;&gt;"",'Your debts'!$F$14&lt;'Your debts'!$F$13),AV250,0)+IF(AND('Your debts'!$F$15&lt;&gt;"",'Your debts'!$F$13&lt;&gt;"",'Your debts'!$F$15&lt;'Your debts'!$F$13),BA250,0)))))</f>
        <v/>
      </c>
      <c r="AS250" s="33">
        <f>AQ250-AR250</f>
        <v/>
      </c>
      <c r="AT250" s="33">
        <f>IF(AX249&lt;=0,0,ROUND(AX249*(1+'Your debts'!$D$14/1200),2))</f>
        <v/>
      </c>
      <c r="AU250" s="33">
        <f>IF(AT250&lt;=0,0,MIN('Your debts'!$E$14,AT250))</f>
        <v/>
      </c>
      <c r="AV250" s="33">
        <f>AT250-AU250</f>
        <v/>
      </c>
      <c r="AW250" s="33">
        <f>IF('Your debts'!$F$14="",0,MIN(AV250,MAX(0,MAX(0,'Your debts'!$C$19-(G250+L250+Q250+V250+AA250+AF250+AK250+AP250+AU250+AZ250))-(IF(AND('Your debts'!$F$6&lt;&gt;"",'Your debts'!$F$14&lt;&gt;"",'Your debts'!$F$6&lt;'Your debts'!$F$14),H250,0)+IF(AND('Your debts'!$F$7&lt;&gt;"",'Your debts'!$F$14&lt;&gt;"",'Your debts'!$F$7&lt;'Your debts'!$F$14),M250,0)+IF(AND('Your debts'!$F$8&lt;&gt;"",'Your debts'!$F$14&lt;&gt;"",'Your debts'!$F$8&lt;'Your debts'!$F$14),R250,0)+IF(AND('Your debts'!$F$9&lt;&gt;"",'Your debts'!$F$14&lt;&gt;"",'Your debts'!$F$9&lt;'Your debts'!$F$14),W250,0)+IF(AND('Your debts'!$F$10&lt;&gt;"",'Your debts'!$F$14&lt;&gt;"",'Your debts'!$F$10&lt;'Your debts'!$F$14),AB250,0)+IF(AND('Your debts'!$F$11&lt;&gt;"",'Your debts'!$F$14&lt;&gt;"",'Your debts'!$F$11&lt;'Your debts'!$F$14),AG250,0)+IF(AND('Your debts'!$F$12&lt;&gt;"",'Your debts'!$F$14&lt;&gt;"",'Your debts'!$F$12&lt;'Your debts'!$F$14),AL250,0)+IF(AND('Your debts'!$F$13&lt;&gt;"",'Your debts'!$F$14&lt;&gt;"",'Your debts'!$F$13&lt;'Your debts'!$F$14),AQ250,0)+IF(AND('Your debts'!$F$15&lt;&gt;"",'Your debts'!$F$14&lt;&gt;"",'Your debts'!$F$15&lt;'Your debts'!$F$14),BA250,0)))))</f>
        <v/>
      </c>
      <c r="AX250" s="33">
        <f>AV250-AW250</f>
        <v/>
      </c>
      <c r="AY250" s="33">
        <f>IF(BC249&lt;=0,0,ROUND(BC249*(1+'Your debts'!$D$15/1200),2))</f>
        <v/>
      </c>
      <c r="AZ250" s="33">
        <f>IF(AY250&lt;=0,0,MIN('Your debts'!$E$15,AY250))</f>
        <v/>
      </c>
      <c r="BA250" s="33">
        <f>AY250-AZ250</f>
        <v/>
      </c>
      <c r="BB250" s="33">
        <f>IF('Your debts'!$F$15="",0,MIN(BA250,MAX(0,MAX(0,'Your debts'!$C$19-(G250+L250+Q250+V250+AA250+AF250+AK250+AP250+AU250+AZ250))-(IF(AND('Your debts'!$F$6&lt;&gt;"",'Your debts'!$F$15&lt;&gt;"",'Your debts'!$F$6&lt;'Your debts'!$F$15),H250,0)+IF(AND('Your debts'!$F$7&lt;&gt;"",'Your debts'!$F$15&lt;&gt;"",'Your debts'!$F$7&lt;'Your debts'!$F$15),M250,0)+IF(AND('Your debts'!$F$8&lt;&gt;"",'Your debts'!$F$15&lt;&gt;"",'Your debts'!$F$8&lt;'Your debts'!$F$15),R250,0)+IF(AND('Your debts'!$F$9&lt;&gt;"",'Your debts'!$F$15&lt;&gt;"",'Your debts'!$F$9&lt;'Your debts'!$F$15),W250,0)+IF(AND('Your debts'!$F$10&lt;&gt;"",'Your debts'!$F$15&lt;&gt;"",'Your debts'!$F$10&lt;'Your debts'!$F$15),AB250,0)+IF(AND('Your debts'!$F$11&lt;&gt;"",'Your debts'!$F$15&lt;&gt;"",'Your debts'!$F$11&lt;'Your debts'!$F$15),AG250,0)+IF(AND('Your debts'!$F$12&lt;&gt;"",'Your debts'!$F$15&lt;&gt;"",'Your debts'!$F$12&lt;'Your debts'!$F$15),AL250,0)+IF(AND('Your debts'!$F$13&lt;&gt;"",'Your debts'!$F$15&lt;&gt;"",'Your debts'!$F$13&lt;'Your debts'!$F$15),AQ250,0)+IF(AND('Your debts'!$F$14&lt;&gt;"",'Your debts'!$F$15&lt;&gt;"",'Your debts'!$F$14&lt;'Your debts'!$F$15),AV250,0)))))</f>
        <v/>
      </c>
      <c r="BC250" s="33">
        <f>BA250-BB250</f>
        <v/>
      </c>
    </row>
    <row r="251">
      <c r="A251" s="30" t="n">
        <v>236</v>
      </c>
      <c r="B251" s="31">
        <f>EDATE($B$15,236)</f>
        <v/>
      </c>
      <c r="C251" s="32">
        <f>IF(J250&lt;=0,0,F251-J250)+IF(O250&lt;=0,0,K251-O250)+IF(T250&lt;=0,0,P251-T250)+IF(Y250&lt;=0,0,U251-Y250)+IF(AD250&lt;=0,0,Z251-AD250)+IF(AI250&lt;=0,0,AE251-AI250)+IF(AN250&lt;=0,0,AJ251-AN250)+IF(AS250&lt;=0,0,AO251-AS250)+IF(AX250&lt;=0,0,AT251-AX250)+IF(BC250&lt;=0,0,AY251-BC250)</f>
        <v/>
      </c>
      <c r="D251" s="32">
        <f>G251+I251+L251+N251+Q251+S251+V251+X251+AA251+AC251+AF251+AH251+AK251+AM251+AP251+AR251+AU251+AW251+AZ251+BB251</f>
        <v/>
      </c>
      <c r="E251" s="32">
        <f>J251+O251+T251+Y251+AD251+AI251+AN251+AS251+AX251+BC251</f>
        <v/>
      </c>
      <c r="F251" s="33">
        <f>IF(J250&lt;=0,0,ROUND(J250*(1+'Your debts'!$D$6/1200),2))</f>
        <v/>
      </c>
      <c r="G251" s="33">
        <f>IF(F251&lt;=0,0,MIN('Your debts'!$E$6,F251))</f>
        <v/>
      </c>
      <c r="H251" s="33">
        <f>F251-G251</f>
        <v/>
      </c>
      <c r="I251" s="33">
        <f>IF('Your debts'!$F$6="",0,MIN(H251,MAX(0,MAX(0,'Your debts'!$C$19-(G251+L251+Q251+V251+AA251+AF251+AK251+AP251+AU251+AZ251))-(IF(AND('Your debts'!$F$7&lt;&gt;"",'Your debts'!$F$6&lt;&gt;"",'Your debts'!$F$7&lt;'Your debts'!$F$6),M251,0)+IF(AND('Your debts'!$F$8&lt;&gt;"",'Your debts'!$F$6&lt;&gt;"",'Your debts'!$F$8&lt;'Your debts'!$F$6),R251,0)+IF(AND('Your debts'!$F$9&lt;&gt;"",'Your debts'!$F$6&lt;&gt;"",'Your debts'!$F$9&lt;'Your debts'!$F$6),W251,0)+IF(AND('Your debts'!$F$10&lt;&gt;"",'Your debts'!$F$6&lt;&gt;"",'Your debts'!$F$10&lt;'Your debts'!$F$6),AB251,0)+IF(AND('Your debts'!$F$11&lt;&gt;"",'Your debts'!$F$6&lt;&gt;"",'Your debts'!$F$11&lt;'Your debts'!$F$6),AG251,0)+IF(AND('Your debts'!$F$12&lt;&gt;"",'Your debts'!$F$6&lt;&gt;"",'Your debts'!$F$12&lt;'Your debts'!$F$6),AL251,0)+IF(AND('Your debts'!$F$13&lt;&gt;"",'Your debts'!$F$6&lt;&gt;"",'Your debts'!$F$13&lt;'Your debts'!$F$6),AQ251,0)+IF(AND('Your debts'!$F$14&lt;&gt;"",'Your debts'!$F$6&lt;&gt;"",'Your debts'!$F$14&lt;'Your debts'!$F$6),AV251,0)+IF(AND('Your debts'!$F$15&lt;&gt;"",'Your debts'!$F$6&lt;&gt;"",'Your debts'!$F$15&lt;'Your debts'!$F$6),BA251,0)))))</f>
        <v/>
      </c>
      <c r="J251" s="33">
        <f>H251-I251</f>
        <v/>
      </c>
      <c r="K251" s="33">
        <f>IF(O250&lt;=0,0,ROUND(O250*(1+'Your debts'!$D$7/1200),2))</f>
        <v/>
      </c>
      <c r="L251" s="33">
        <f>IF(K251&lt;=0,0,MIN('Your debts'!$E$7,K251))</f>
        <v/>
      </c>
      <c r="M251" s="33">
        <f>K251-L251</f>
        <v/>
      </c>
      <c r="N251" s="33">
        <f>IF('Your debts'!$F$7="",0,MIN(M251,MAX(0,MAX(0,'Your debts'!$C$19-(G251+L251+Q251+V251+AA251+AF251+AK251+AP251+AU251+AZ251))-(IF(AND('Your debts'!$F$6&lt;&gt;"",'Your debts'!$F$7&lt;&gt;"",'Your debts'!$F$6&lt;'Your debts'!$F$7),H251,0)+IF(AND('Your debts'!$F$8&lt;&gt;"",'Your debts'!$F$7&lt;&gt;"",'Your debts'!$F$8&lt;'Your debts'!$F$7),R251,0)+IF(AND('Your debts'!$F$9&lt;&gt;"",'Your debts'!$F$7&lt;&gt;"",'Your debts'!$F$9&lt;'Your debts'!$F$7),W251,0)+IF(AND('Your debts'!$F$10&lt;&gt;"",'Your debts'!$F$7&lt;&gt;"",'Your debts'!$F$10&lt;'Your debts'!$F$7),AB251,0)+IF(AND('Your debts'!$F$11&lt;&gt;"",'Your debts'!$F$7&lt;&gt;"",'Your debts'!$F$11&lt;'Your debts'!$F$7),AG251,0)+IF(AND('Your debts'!$F$12&lt;&gt;"",'Your debts'!$F$7&lt;&gt;"",'Your debts'!$F$12&lt;'Your debts'!$F$7),AL251,0)+IF(AND('Your debts'!$F$13&lt;&gt;"",'Your debts'!$F$7&lt;&gt;"",'Your debts'!$F$13&lt;'Your debts'!$F$7),AQ251,0)+IF(AND('Your debts'!$F$14&lt;&gt;"",'Your debts'!$F$7&lt;&gt;"",'Your debts'!$F$14&lt;'Your debts'!$F$7),AV251,0)+IF(AND('Your debts'!$F$15&lt;&gt;"",'Your debts'!$F$7&lt;&gt;"",'Your debts'!$F$15&lt;'Your debts'!$F$7),BA251,0)))))</f>
        <v/>
      </c>
      <c r="O251" s="33">
        <f>M251-N251</f>
        <v/>
      </c>
      <c r="P251" s="33">
        <f>IF(T250&lt;=0,0,ROUND(T250*(1+'Your debts'!$D$8/1200),2))</f>
        <v/>
      </c>
      <c r="Q251" s="33">
        <f>IF(P251&lt;=0,0,MIN('Your debts'!$E$8,P251))</f>
        <v/>
      </c>
      <c r="R251" s="33">
        <f>P251-Q251</f>
        <v/>
      </c>
      <c r="S251" s="33">
        <f>IF('Your debts'!$F$8="",0,MIN(R251,MAX(0,MAX(0,'Your debts'!$C$19-(G251+L251+Q251+V251+AA251+AF251+AK251+AP251+AU251+AZ251))-(IF(AND('Your debts'!$F$6&lt;&gt;"",'Your debts'!$F$8&lt;&gt;"",'Your debts'!$F$6&lt;'Your debts'!$F$8),H251,0)+IF(AND('Your debts'!$F$7&lt;&gt;"",'Your debts'!$F$8&lt;&gt;"",'Your debts'!$F$7&lt;'Your debts'!$F$8),M251,0)+IF(AND('Your debts'!$F$9&lt;&gt;"",'Your debts'!$F$8&lt;&gt;"",'Your debts'!$F$9&lt;'Your debts'!$F$8),W251,0)+IF(AND('Your debts'!$F$10&lt;&gt;"",'Your debts'!$F$8&lt;&gt;"",'Your debts'!$F$10&lt;'Your debts'!$F$8),AB251,0)+IF(AND('Your debts'!$F$11&lt;&gt;"",'Your debts'!$F$8&lt;&gt;"",'Your debts'!$F$11&lt;'Your debts'!$F$8),AG251,0)+IF(AND('Your debts'!$F$12&lt;&gt;"",'Your debts'!$F$8&lt;&gt;"",'Your debts'!$F$12&lt;'Your debts'!$F$8),AL251,0)+IF(AND('Your debts'!$F$13&lt;&gt;"",'Your debts'!$F$8&lt;&gt;"",'Your debts'!$F$13&lt;'Your debts'!$F$8),AQ251,0)+IF(AND('Your debts'!$F$14&lt;&gt;"",'Your debts'!$F$8&lt;&gt;"",'Your debts'!$F$14&lt;'Your debts'!$F$8),AV251,0)+IF(AND('Your debts'!$F$15&lt;&gt;"",'Your debts'!$F$8&lt;&gt;"",'Your debts'!$F$15&lt;'Your debts'!$F$8),BA251,0)))))</f>
        <v/>
      </c>
      <c r="T251" s="33">
        <f>R251-S251</f>
        <v/>
      </c>
      <c r="U251" s="33">
        <f>IF(Y250&lt;=0,0,ROUND(Y250*(1+'Your debts'!$D$9/1200),2))</f>
        <v/>
      </c>
      <c r="V251" s="33">
        <f>IF(U251&lt;=0,0,MIN('Your debts'!$E$9,U251))</f>
        <v/>
      </c>
      <c r="W251" s="33">
        <f>U251-V251</f>
        <v/>
      </c>
      <c r="X251" s="33">
        <f>IF('Your debts'!$F$9="",0,MIN(W251,MAX(0,MAX(0,'Your debts'!$C$19-(G251+L251+Q251+V251+AA251+AF251+AK251+AP251+AU251+AZ251))-(IF(AND('Your debts'!$F$6&lt;&gt;"",'Your debts'!$F$9&lt;&gt;"",'Your debts'!$F$6&lt;'Your debts'!$F$9),H251,0)+IF(AND('Your debts'!$F$7&lt;&gt;"",'Your debts'!$F$9&lt;&gt;"",'Your debts'!$F$7&lt;'Your debts'!$F$9),M251,0)+IF(AND('Your debts'!$F$8&lt;&gt;"",'Your debts'!$F$9&lt;&gt;"",'Your debts'!$F$8&lt;'Your debts'!$F$9),R251,0)+IF(AND('Your debts'!$F$10&lt;&gt;"",'Your debts'!$F$9&lt;&gt;"",'Your debts'!$F$10&lt;'Your debts'!$F$9),AB251,0)+IF(AND('Your debts'!$F$11&lt;&gt;"",'Your debts'!$F$9&lt;&gt;"",'Your debts'!$F$11&lt;'Your debts'!$F$9),AG251,0)+IF(AND('Your debts'!$F$12&lt;&gt;"",'Your debts'!$F$9&lt;&gt;"",'Your debts'!$F$12&lt;'Your debts'!$F$9),AL251,0)+IF(AND('Your debts'!$F$13&lt;&gt;"",'Your debts'!$F$9&lt;&gt;"",'Your debts'!$F$13&lt;'Your debts'!$F$9),AQ251,0)+IF(AND('Your debts'!$F$14&lt;&gt;"",'Your debts'!$F$9&lt;&gt;"",'Your debts'!$F$14&lt;'Your debts'!$F$9),AV251,0)+IF(AND('Your debts'!$F$15&lt;&gt;"",'Your debts'!$F$9&lt;&gt;"",'Your debts'!$F$15&lt;'Your debts'!$F$9),BA251,0)))))</f>
        <v/>
      </c>
      <c r="Y251" s="33">
        <f>W251-X251</f>
        <v/>
      </c>
      <c r="Z251" s="33">
        <f>IF(AD250&lt;=0,0,ROUND(AD250*(1+'Your debts'!$D$10/1200),2))</f>
        <v/>
      </c>
      <c r="AA251" s="33">
        <f>IF(Z251&lt;=0,0,MIN('Your debts'!$E$10,Z251))</f>
        <v/>
      </c>
      <c r="AB251" s="33">
        <f>Z251-AA251</f>
        <v/>
      </c>
      <c r="AC251" s="33">
        <f>IF('Your debts'!$F$10="",0,MIN(AB251,MAX(0,MAX(0,'Your debts'!$C$19-(G251+L251+Q251+V251+AA251+AF251+AK251+AP251+AU251+AZ251))-(IF(AND('Your debts'!$F$6&lt;&gt;"",'Your debts'!$F$10&lt;&gt;"",'Your debts'!$F$6&lt;'Your debts'!$F$10),H251,0)+IF(AND('Your debts'!$F$7&lt;&gt;"",'Your debts'!$F$10&lt;&gt;"",'Your debts'!$F$7&lt;'Your debts'!$F$10),M251,0)+IF(AND('Your debts'!$F$8&lt;&gt;"",'Your debts'!$F$10&lt;&gt;"",'Your debts'!$F$8&lt;'Your debts'!$F$10),R251,0)+IF(AND('Your debts'!$F$9&lt;&gt;"",'Your debts'!$F$10&lt;&gt;"",'Your debts'!$F$9&lt;'Your debts'!$F$10),W251,0)+IF(AND('Your debts'!$F$11&lt;&gt;"",'Your debts'!$F$10&lt;&gt;"",'Your debts'!$F$11&lt;'Your debts'!$F$10),AG251,0)+IF(AND('Your debts'!$F$12&lt;&gt;"",'Your debts'!$F$10&lt;&gt;"",'Your debts'!$F$12&lt;'Your debts'!$F$10),AL251,0)+IF(AND('Your debts'!$F$13&lt;&gt;"",'Your debts'!$F$10&lt;&gt;"",'Your debts'!$F$13&lt;'Your debts'!$F$10),AQ251,0)+IF(AND('Your debts'!$F$14&lt;&gt;"",'Your debts'!$F$10&lt;&gt;"",'Your debts'!$F$14&lt;'Your debts'!$F$10),AV251,0)+IF(AND('Your debts'!$F$15&lt;&gt;"",'Your debts'!$F$10&lt;&gt;"",'Your debts'!$F$15&lt;'Your debts'!$F$10),BA251,0)))))</f>
        <v/>
      </c>
      <c r="AD251" s="33">
        <f>AB251-AC251</f>
        <v/>
      </c>
      <c r="AE251" s="33">
        <f>IF(AI250&lt;=0,0,ROUND(AI250*(1+'Your debts'!$D$11/1200),2))</f>
        <v/>
      </c>
      <c r="AF251" s="33">
        <f>IF(AE251&lt;=0,0,MIN('Your debts'!$E$11,AE251))</f>
        <v/>
      </c>
      <c r="AG251" s="33">
        <f>AE251-AF251</f>
        <v/>
      </c>
      <c r="AH251" s="33">
        <f>IF('Your debts'!$F$11="",0,MIN(AG251,MAX(0,MAX(0,'Your debts'!$C$19-(G251+L251+Q251+V251+AA251+AF251+AK251+AP251+AU251+AZ251))-(IF(AND('Your debts'!$F$6&lt;&gt;"",'Your debts'!$F$11&lt;&gt;"",'Your debts'!$F$6&lt;'Your debts'!$F$11),H251,0)+IF(AND('Your debts'!$F$7&lt;&gt;"",'Your debts'!$F$11&lt;&gt;"",'Your debts'!$F$7&lt;'Your debts'!$F$11),M251,0)+IF(AND('Your debts'!$F$8&lt;&gt;"",'Your debts'!$F$11&lt;&gt;"",'Your debts'!$F$8&lt;'Your debts'!$F$11),R251,0)+IF(AND('Your debts'!$F$9&lt;&gt;"",'Your debts'!$F$11&lt;&gt;"",'Your debts'!$F$9&lt;'Your debts'!$F$11),W251,0)+IF(AND('Your debts'!$F$10&lt;&gt;"",'Your debts'!$F$11&lt;&gt;"",'Your debts'!$F$10&lt;'Your debts'!$F$11),AB251,0)+IF(AND('Your debts'!$F$12&lt;&gt;"",'Your debts'!$F$11&lt;&gt;"",'Your debts'!$F$12&lt;'Your debts'!$F$11),AL251,0)+IF(AND('Your debts'!$F$13&lt;&gt;"",'Your debts'!$F$11&lt;&gt;"",'Your debts'!$F$13&lt;'Your debts'!$F$11),AQ251,0)+IF(AND('Your debts'!$F$14&lt;&gt;"",'Your debts'!$F$11&lt;&gt;"",'Your debts'!$F$14&lt;'Your debts'!$F$11),AV251,0)+IF(AND('Your debts'!$F$15&lt;&gt;"",'Your debts'!$F$11&lt;&gt;"",'Your debts'!$F$15&lt;'Your debts'!$F$11),BA251,0)))))</f>
        <v/>
      </c>
      <c r="AI251" s="33">
        <f>AG251-AH251</f>
        <v/>
      </c>
      <c r="AJ251" s="33">
        <f>IF(AN250&lt;=0,0,ROUND(AN250*(1+'Your debts'!$D$12/1200),2))</f>
        <v/>
      </c>
      <c r="AK251" s="33">
        <f>IF(AJ251&lt;=0,0,MIN('Your debts'!$E$12,AJ251))</f>
        <v/>
      </c>
      <c r="AL251" s="33">
        <f>AJ251-AK251</f>
        <v/>
      </c>
      <c r="AM251" s="33">
        <f>IF('Your debts'!$F$12="",0,MIN(AL251,MAX(0,MAX(0,'Your debts'!$C$19-(G251+L251+Q251+V251+AA251+AF251+AK251+AP251+AU251+AZ251))-(IF(AND('Your debts'!$F$6&lt;&gt;"",'Your debts'!$F$12&lt;&gt;"",'Your debts'!$F$6&lt;'Your debts'!$F$12),H251,0)+IF(AND('Your debts'!$F$7&lt;&gt;"",'Your debts'!$F$12&lt;&gt;"",'Your debts'!$F$7&lt;'Your debts'!$F$12),M251,0)+IF(AND('Your debts'!$F$8&lt;&gt;"",'Your debts'!$F$12&lt;&gt;"",'Your debts'!$F$8&lt;'Your debts'!$F$12),R251,0)+IF(AND('Your debts'!$F$9&lt;&gt;"",'Your debts'!$F$12&lt;&gt;"",'Your debts'!$F$9&lt;'Your debts'!$F$12),W251,0)+IF(AND('Your debts'!$F$10&lt;&gt;"",'Your debts'!$F$12&lt;&gt;"",'Your debts'!$F$10&lt;'Your debts'!$F$12),AB251,0)+IF(AND('Your debts'!$F$11&lt;&gt;"",'Your debts'!$F$12&lt;&gt;"",'Your debts'!$F$11&lt;'Your debts'!$F$12),AG251,0)+IF(AND('Your debts'!$F$13&lt;&gt;"",'Your debts'!$F$12&lt;&gt;"",'Your debts'!$F$13&lt;'Your debts'!$F$12),AQ251,0)+IF(AND('Your debts'!$F$14&lt;&gt;"",'Your debts'!$F$12&lt;&gt;"",'Your debts'!$F$14&lt;'Your debts'!$F$12),AV251,0)+IF(AND('Your debts'!$F$15&lt;&gt;"",'Your debts'!$F$12&lt;&gt;"",'Your debts'!$F$15&lt;'Your debts'!$F$12),BA251,0)))))</f>
        <v/>
      </c>
      <c r="AN251" s="33">
        <f>AL251-AM251</f>
        <v/>
      </c>
      <c r="AO251" s="33">
        <f>IF(AS250&lt;=0,0,ROUND(AS250*(1+'Your debts'!$D$13/1200),2))</f>
        <v/>
      </c>
      <c r="AP251" s="33">
        <f>IF(AO251&lt;=0,0,MIN('Your debts'!$E$13,AO251))</f>
        <v/>
      </c>
      <c r="AQ251" s="33">
        <f>AO251-AP251</f>
        <v/>
      </c>
      <c r="AR251" s="33">
        <f>IF('Your debts'!$F$13="",0,MIN(AQ251,MAX(0,MAX(0,'Your debts'!$C$19-(G251+L251+Q251+V251+AA251+AF251+AK251+AP251+AU251+AZ251))-(IF(AND('Your debts'!$F$6&lt;&gt;"",'Your debts'!$F$13&lt;&gt;"",'Your debts'!$F$6&lt;'Your debts'!$F$13),H251,0)+IF(AND('Your debts'!$F$7&lt;&gt;"",'Your debts'!$F$13&lt;&gt;"",'Your debts'!$F$7&lt;'Your debts'!$F$13),M251,0)+IF(AND('Your debts'!$F$8&lt;&gt;"",'Your debts'!$F$13&lt;&gt;"",'Your debts'!$F$8&lt;'Your debts'!$F$13),R251,0)+IF(AND('Your debts'!$F$9&lt;&gt;"",'Your debts'!$F$13&lt;&gt;"",'Your debts'!$F$9&lt;'Your debts'!$F$13),W251,0)+IF(AND('Your debts'!$F$10&lt;&gt;"",'Your debts'!$F$13&lt;&gt;"",'Your debts'!$F$10&lt;'Your debts'!$F$13),AB251,0)+IF(AND('Your debts'!$F$11&lt;&gt;"",'Your debts'!$F$13&lt;&gt;"",'Your debts'!$F$11&lt;'Your debts'!$F$13),AG251,0)+IF(AND('Your debts'!$F$12&lt;&gt;"",'Your debts'!$F$13&lt;&gt;"",'Your debts'!$F$12&lt;'Your debts'!$F$13),AL251,0)+IF(AND('Your debts'!$F$14&lt;&gt;"",'Your debts'!$F$13&lt;&gt;"",'Your debts'!$F$14&lt;'Your debts'!$F$13),AV251,0)+IF(AND('Your debts'!$F$15&lt;&gt;"",'Your debts'!$F$13&lt;&gt;"",'Your debts'!$F$15&lt;'Your debts'!$F$13),BA251,0)))))</f>
        <v/>
      </c>
      <c r="AS251" s="33">
        <f>AQ251-AR251</f>
        <v/>
      </c>
      <c r="AT251" s="33">
        <f>IF(AX250&lt;=0,0,ROUND(AX250*(1+'Your debts'!$D$14/1200),2))</f>
        <v/>
      </c>
      <c r="AU251" s="33">
        <f>IF(AT251&lt;=0,0,MIN('Your debts'!$E$14,AT251))</f>
        <v/>
      </c>
      <c r="AV251" s="33">
        <f>AT251-AU251</f>
        <v/>
      </c>
      <c r="AW251" s="33">
        <f>IF('Your debts'!$F$14="",0,MIN(AV251,MAX(0,MAX(0,'Your debts'!$C$19-(G251+L251+Q251+V251+AA251+AF251+AK251+AP251+AU251+AZ251))-(IF(AND('Your debts'!$F$6&lt;&gt;"",'Your debts'!$F$14&lt;&gt;"",'Your debts'!$F$6&lt;'Your debts'!$F$14),H251,0)+IF(AND('Your debts'!$F$7&lt;&gt;"",'Your debts'!$F$14&lt;&gt;"",'Your debts'!$F$7&lt;'Your debts'!$F$14),M251,0)+IF(AND('Your debts'!$F$8&lt;&gt;"",'Your debts'!$F$14&lt;&gt;"",'Your debts'!$F$8&lt;'Your debts'!$F$14),R251,0)+IF(AND('Your debts'!$F$9&lt;&gt;"",'Your debts'!$F$14&lt;&gt;"",'Your debts'!$F$9&lt;'Your debts'!$F$14),W251,0)+IF(AND('Your debts'!$F$10&lt;&gt;"",'Your debts'!$F$14&lt;&gt;"",'Your debts'!$F$10&lt;'Your debts'!$F$14),AB251,0)+IF(AND('Your debts'!$F$11&lt;&gt;"",'Your debts'!$F$14&lt;&gt;"",'Your debts'!$F$11&lt;'Your debts'!$F$14),AG251,0)+IF(AND('Your debts'!$F$12&lt;&gt;"",'Your debts'!$F$14&lt;&gt;"",'Your debts'!$F$12&lt;'Your debts'!$F$14),AL251,0)+IF(AND('Your debts'!$F$13&lt;&gt;"",'Your debts'!$F$14&lt;&gt;"",'Your debts'!$F$13&lt;'Your debts'!$F$14),AQ251,0)+IF(AND('Your debts'!$F$15&lt;&gt;"",'Your debts'!$F$14&lt;&gt;"",'Your debts'!$F$15&lt;'Your debts'!$F$14),BA251,0)))))</f>
        <v/>
      </c>
      <c r="AX251" s="33">
        <f>AV251-AW251</f>
        <v/>
      </c>
      <c r="AY251" s="33">
        <f>IF(BC250&lt;=0,0,ROUND(BC250*(1+'Your debts'!$D$15/1200),2))</f>
        <v/>
      </c>
      <c r="AZ251" s="33">
        <f>IF(AY251&lt;=0,0,MIN('Your debts'!$E$15,AY251))</f>
        <v/>
      </c>
      <c r="BA251" s="33">
        <f>AY251-AZ251</f>
        <v/>
      </c>
      <c r="BB251" s="33">
        <f>IF('Your debts'!$F$15="",0,MIN(BA251,MAX(0,MAX(0,'Your debts'!$C$19-(G251+L251+Q251+V251+AA251+AF251+AK251+AP251+AU251+AZ251))-(IF(AND('Your debts'!$F$6&lt;&gt;"",'Your debts'!$F$15&lt;&gt;"",'Your debts'!$F$6&lt;'Your debts'!$F$15),H251,0)+IF(AND('Your debts'!$F$7&lt;&gt;"",'Your debts'!$F$15&lt;&gt;"",'Your debts'!$F$7&lt;'Your debts'!$F$15),M251,0)+IF(AND('Your debts'!$F$8&lt;&gt;"",'Your debts'!$F$15&lt;&gt;"",'Your debts'!$F$8&lt;'Your debts'!$F$15),R251,0)+IF(AND('Your debts'!$F$9&lt;&gt;"",'Your debts'!$F$15&lt;&gt;"",'Your debts'!$F$9&lt;'Your debts'!$F$15),W251,0)+IF(AND('Your debts'!$F$10&lt;&gt;"",'Your debts'!$F$15&lt;&gt;"",'Your debts'!$F$10&lt;'Your debts'!$F$15),AB251,0)+IF(AND('Your debts'!$F$11&lt;&gt;"",'Your debts'!$F$15&lt;&gt;"",'Your debts'!$F$11&lt;'Your debts'!$F$15),AG251,0)+IF(AND('Your debts'!$F$12&lt;&gt;"",'Your debts'!$F$15&lt;&gt;"",'Your debts'!$F$12&lt;'Your debts'!$F$15),AL251,0)+IF(AND('Your debts'!$F$13&lt;&gt;"",'Your debts'!$F$15&lt;&gt;"",'Your debts'!$F$13&lt;'Your debts'!$F$15),AQ251,0)+IF(AND('Your debts'!$F$14&lt;&gt;"",'Your debts'!$F$15&lt;&gt;"",'Your debts'!$F$14&lt;'Your debts'!$F$15),AV251,0)))))</f>
        <v/>
      </c>
      <c r="BC251" s="33">
        <f>BA251-BB251</f>
        <v/>
      </c>
    </row>
    <row r="252">
      <c r="A252" s="30" t="n">
        <v>237</v>
      </c>
      <c r="B252" s="31">
        <f>EDATE($B$15,237)</f>
        <v/>
      </c>
      <c r="C252" s="32">
        <f>IF(J251&lt;=0,0,F252-J251)+IF(O251&lt;=0,0,K252-O251)+IF(T251&lt;=0,0,P252-T251)+IF(Y251&lt;=0,0,U252-Y251)+IF(AD251&lt;=0,0,Z252-AD251)+IF(AI251&lt;=0,0,AE252-AI251)+IF(AN251&lt;=0,0,AJ252-AN251)+IF(AS251&lt;=0,0,AO252-AS251)+IF(AX251&lt;=0,0,AT252-AX251)+IF(BC251&lt;=0,0,AY252-BC251)</f>
        <v/>
      </c>
      <c r="D252" s="32">
        <f>G252+I252+L252+N252+Q252+S252+V252+X252+AA252+AC252+AF252+AH252+AK252+AM252+AP252+AR252+AU252+AW252+AZ252+BB252</f>
        <v/>
      </c>
      <c r="E252" s="32">
        <f>J252+O252+T252+Y252+AD252+AI252+AN252+AS252+AX252+BC252</f>
        <v/>
      </c>
      <c r="F252" s="33">
        <f>IF(J251&lt;=0,0,ROUND(J251*(1+'Your debts'!$D$6/1200),2))</f>
        <v/>
      </c>
      <c r="G252" s="33">
        <f>IF(F252&lt;=0,0,MIN('Your debts'!$E$6,F252))</f>
        <v/>
      </c>
      <c r="H252" s="33">
        <f>F252-G252</f>
        <v/>
      </c>
      <c r="I252" s="33">
        <f>IF('Your debts'!$F$6="",0,MIN(H252,MAX(0,MAX(0,'Your debts'!$C$19-(G252+L252+Q252+V252+AA252+AF252+AK252+AP252+AU252+AZ252))-(IF(AND('Your debts'!$F$7&lt;&gt;"",'Your debts'!$F$6&lt;&gt;"",'Your debts'!$F$7&lt;'Your debts'!$F$6),M252,0)+IF(AND('Your debts'!$F$8&lt;&gt;"",'Your debts'!$F$6&lt;&gt;"",'Your debts'!$F$8&lt;'Your debts'!$F$6),R252,0)+IF(AND('Your debts'!$F$9&lt;&gt;"",'Your debts'!$F$6&lt;&gt;"",'Your debts'!$F$9&lt;'Your debts'!$F$6),W252,0)+IF(AND('Your debts'!$F$10&lt;&gt;"",'Your debts'!$F$6&lt;&gt;"",'Your debts'!$F$10&lt;'Your debts'!$F$6),AB252,0)+IF(AND('Your debts'!$F$11&lt;&gt;"",'Your debts'!$F$6&lt;&gt;"",'Your debts'!$F$11&lt;'Your debts'!$F$6),AG252,0)+IF(AND('Your debts'!$F$12&lt;&gt;"",'Your debts'!$F$6&lt;&gt;"",'Your debts'!$F$12&lt;'Your debts'!$F$6),AL252,0)+IF(AND('Your debts'!$F$13&lt;&gt;"",'Your debts'!$F$6&lt;&gt;"",'Your debts'!$F$13&lt;'Your debts'!$F$6),AQ252,0)+IF(AND('Your debts'!$F$14&lt;&gt;"",'Your debts'!$F$6&lt;&gt;"",'Your debts'!$F$14&lt;'Your debts'!$F$6),AV252,0)+IF(AND('Your debts'!$F$15&lt;&gt;"",'Your debts'!$F$6&lt;&gt;"",'Your debts'!$F$15&lt;'Your debts'!$F$6),BA252,0)))))</f>
        <v/>
      </c>
      <c r="J252" s="33">
        <f>H252-I252</f>
        <v/>
      </c>
      <c r="K252" s="33">
        <f>IF(O251&lt;=0,0,ROUND(O251*(1+'Your debts'!$D$7/1200),2))</f>
        <v/>
      </c>
      <c r="L252" s="33">
        <f>IF(K252&lt;=0,0,MIN('Your debts'!$E$7,K252))</f>
        <v/>
      </c>
      <c r="M252" s="33">
        <f>K252-L252</f>
        <v/>
      </c>
      <c r="N252" s="33">
        <f>IF('Your debts'!$F$7="",0,MIN(M252,MAX(0,MAX(0,'Your debts'!$C$19-(G252+L252+Q252+V252+AA252+AF252+AK252+AP252+AU252+AZ252))-(IF(AND('Your debts'!$F$6&lt;&gt;"",'Your debts'!$F$7&lt;&gt;"",'Your debts'!$F$6&lt;'Your debts'!$F$7),H252,0)+IF(AND('Your debts'!$F$8&lt;&gt;"",'Your debts'!$F$7&lt;&gt;"",'Your debts'!$F$8&lt;'Your debts'!$F$7),R252,0)+IF(AND('Your debts'!$F$9&lt;&gt;"",'Your debts'!$F$7&lt;&gt;"",'Your debts'!$F$9&lt;'Your debts'!$F$7),W252,0)+IF(AND('Your debts'!$F$10&lt;&gt;"",'Your debts'!$F$7&lt;&gt;"",'Your debts'!$F$10&lt;'Your debts'!$F$7),AB252,0)+IF(AND('Your debts'!$F$11&lt;&gt;"",'Your debts'!$F$7&lt;&gt;"",'Your debts'!$F$11&lt;'Your debts'!$F$7),AG252,0)+IF(AND('Your debts'!$F$12&lt;&gt;"",'Your debts'!$F$7&lt;&gt;"",'Your debts'!$F$12&lt;'Your debts'!$F$7),AL252,0)+IF(AND('Your debts'!$F$13&lt;&gt;"",'Your debts'!$F$7&lt;&gt;"",'Your debts'!$F$13&lt;'Your debts'!$F$7),AQ252,0)+IF(AND('Your debts'!$F$14&lt;&gt;"",'Your debts'!$F$7&lt;&gt;"",'Your debts'!$F$14&lt;'Your debts'!$F$7),AV252,0)+IF(AND('Your debts'!$F$15&lt;&gt;"",'Your debts'!$F$7&lt;&gt;"",'Your debts'!$F$15&lt;'Your debts'!$F$7),BA252,0)))))</f>
        <v/>
      </c>
      <c r="O252" s="33">
        <f>M252-N252</f>
        <v/>
      </c>
      <c r="P252" s="33">
        <f>IF(T251&lt;=0,0,ROUND(T251*(1+'Your debts'!$D$8/1200),2))</f>
        <v/>
      </c>
      <c r="Q252" s="33">
        <f>IF(P252&lt;=0,0,MIN('Your debts'!$E$8,P252))</f>
        <v/>
      </c>
      <c r="R252" s="33">
        <f>P252-Q252</f>
        <v/>
      </c>
      <c r="S252" s="33">
        <f>IF('Your debts'!$F$8="",0,MIN(R252,MAX(0,MAX(0,'Your debts'!$C$19-(G252+L252+Q252+V252+AA252+AF252+AK252+AP252+AU252+AZ252))-(IF(AND('Your debts'!$F$6&lt;&gt;"",'Your debts'!$F$8&lt;&gt;"",'Your debts'!$F$6&lt;'Your debts'!$F$8),H252,0)+IF(AND('Your debts'!$F$7&lt;&gt;"",'Your debts'!$F$8&lt;&gt;"",'Your debts'!$F$7&lt;'Your debts'!$F$8),M252,0)+IF(AND('Your debts'!$F$9&lt;&gt;"",'Your debts'!$F$8&lt;&gt;"",'Your debts'!$F$9&lt;'Your debts'!$F$8),W252,0)+IF(AND('Your debts'!$F$10&lt;&gt;"",'Your debts'!$F$8&lt;&gt;"",'Your debts'!$F$10&lt;'Your debts'!$F$8),AB252,0)+IF(AND('Your debts'!$F$11&lt;&gt;"",'Your debts'!$F$8&lt;&gt;"",'Your debts'!$F$11&lt;'Your debts'!$F$8),AG252,0)+IF(AND('Your debts'!$F$12&lt;&gt;"",'Your debts'!$F$8&lt;&gt;"",'Your debts'!$F$12&lt;'Your debts'!$F$8),AL252,0)+IF(AND('Your debts'!$F$13&lt;&gt;"",'Your debts'!$F$8&lt;&gt;"",'Your debts'!$F$13&lt;'Your debts'!$F$8),AQ252,0)+IF(AND('Your debts'!$F$14&lt;&gt;"",'Your debts'!$F$8&lt;&gt;"",'Your debts'!$F$14&lt;'Your debts'!$F$8),AV252,0)+IF(AND('Your debts'!$F$15&lt;&gt;"",'Your debts'!$F$8&lt;&gt;"",'Your debts'!$F$15&lt;'Your debts'!$F$8),BA252,0)))))</f>
        <v/>
      </c>
      <c r="T252" s="33">
        <f>R252-S252</f>
        <v/>
      </c>
      <c r="U252" s="33">
        <f>IF(Y251&lt;=0,0,ROUND(Y251*(1+'Your debts'!$D$9/1200),2))</f>
        <v/>
      </c>
      <c r="V252" s="33">
        <f>IF(U252&lt;=0,0,MIN('Your debts'!$E$9,U252))</f>
        <v/>
      </c>
      <c r="W252" s="33">
        <f>U252-V252</f>
        <v/>
      </c>
      <c r="X252" s="33">
        <f>IF('Your debts'!$F$9="",0,MIN(W252,MAX(0,MAX(0,'Your debts'!$C$19-(G252+L252+Q252+V252+AA252+AF252+AK252+AP252+AU252+AZ252))-(IF(AND('Your debts'!$F$6&lt;&gt;"",'Your debts'!$F$9&lt;&gt;"",'Your debts'!$F$6&lt;'Your debts'!$F$9),H252,0)+IF(AND('Your debts'!$F$7&lt;&gt;"",'Your debts'!$F$9&lt;&gt;"",'Your debts'!$F$7&lt;'Your debts'!$F$9),M252,0)+IF(AND('Your debts'!$F$8&lt;&gt;"",'Your debts'!$F$9&lt;&gt;"",'Your debts'!$F$8&lt;'Your debts'!$F$9),R252,0)+IF(AND('Your debts'!$F$10&lt;&gt;"",'Your debts'!$F$9&lt;&gt;"",'Your debts'!$F$10&lt;'Your debts'!$F$9),AB252,0)+IF(AND('Your debts'!$F$11&lt;&gt;"",'Your debts'!$F$9&lt;&gt;"",'Your debts'!$F$11&lt;'Your debts'!$F$9),AG252,0)+IF(AND('Your debts'!$F$12&lt;&gt;"",'Your debts'!$F$9&lt;&gt;"",'Your debts'!$F$12&lt;'Your debts'!$F$9),AL252,0)+IF(AND('Your debts'!$F$13&lt;&gt;"",'Your debts'!$F$9&lt;&gt;"",'Your debts'!$F$13&lt;'Your debts'!$F$9),AQ252,0)+IF(AND('Your debts'!$F$14&lt;&gt;"",'Your debts'!$F$9&lt;&gt;"",'Your debts'!$F$14&lt;'Your debts'!$F$9),AV252,0)+IF(AND('Your debts'!$F$15&lt;&gt;"",'Your debts'!$F$9&lt;&gt;"",'Your debts'!$F$15&lt;'Your debts'!$F$9),BA252,0)))))</f>
        <v/>
      </c>
      <c r="Y252" s="33">
        <f>W252-X252</f>
        <v/>
      </c>
      <c r="Z252" s="33">
        <f>IF(AD251&lt;=0,0,ROUND(AD251*(1+'Your debts'!$D$10/1200),2))</f>
        <v/>
      </c>
      <c r="AA252" s="33">
        <f>IF(Z252&lt;=0,0,MIN('Your debts'!$E$10,Z252))</f>
        <v/>
      </c>
      <c r="AB252" s="33">
        <f>Z252-AA252</f>
        <v/>
      </c>
      <c r="AC252" s="33">
        <f>IF('Your debts'!$F$10="",0,MIN(AB252,MAX(0,MAX(0,'Your debts'!$C$19-(G252+L252+Q252+V252+AA252+AF252+AK252+AP252+AU252+AZ252))-(IF(AND('Your debts'!$F$6&lt;&gt;"",'Your debts'!$F$10&lt;&gt;"",'Your debts'!$F$6&lt;'Your debts'!$F$10),H252,0)+IF(AND('Your debts'!$F$7&lt;&gt;"",'Your debts'!$F$10&lt;&gt;"",'Your debts'!$F$7&lt;'Your debts'!$F$10),M252,0)+IF(AND('Your debts'!$F$8&lt;&gt;"",'Your debts'!$F$10&lt;&gt;"",'Your debts'!$F$8&lt;'Your debts'!$F$10),R252,0)+IF(AND('Your debts'!$F$9&lt;&gt;"",'Your debts'!$F$10&lt;&gt;"",'Your debts'!$F$9&lt;'Your debts'!$F$10),W252,0)+IF(AND('Your debts'!$F$11&lt;&gt;"",'Your debts'!$F$10&lt;&gt;"",'Your debts'!$F$11&lt;'Your debts'!$F$10),AG252,0)+IF(AND('Your debts'!$F$12&lt;&gt;"",'Your debts'!$F$10&lt;&gt;"",'Your debts'!$F$12&lt;'Your debts'!$F$10),AL252,0)+IF(AND('Your debts'!$F$13&lt;&gt;"",'Your debts'!$F$10&lt;&gt;"",'Your debts'!$F$13&lt;'Your debts'!$F$10),AQ252,0)+IF(AND('Your debts'!$F$14&lt;&gt;"",'Your debts'!$F$10&lt;&gt;"",'Your debts'!$F$14&lt;'Your debts'!$F$10),AV252,0)+IF(AND('Your debts'!$F$15&lt;&gt;"",'Your debts'!$F$10&lt;&gt;"",'Your debts'!$F$15&lt;'Your debts'!$F$10),BA252,0)))))</f>
        <v/>
      </c>
      <c r="AD252" s="33">
        <f>AB252-AC252</f>
        <v/>
      </c>
      <c r="AE252" s="33">
        <f>IF(AI251&lt;=0,0,ROUND(AI251*(1+'Your debts'!$D$11/1200),2))</f>
        <v/>
      </c>
      <c r="AF252" s="33">
        <f>IF(AE252&lt;=0,0,MIN('Your debts'!$E$11,AE252))</f>
        <v/>
      </c>
      <c r="AG252" s="33">
        <f>AE252-AF252</f>
        <v/>
      </c>
      <c r="AH252" s="33">
        <f>IF('Your debts'!$F$11="",0,MIN(AG252,MAX(0,MAX(0,'Your debts'!$C$19-(G252+L252+Q252+V252+AA252+AF252+AK252+AP252+AU252+AZ252))-(IF(AND('Your debts'!$F$6&lt;&gt;"",'Your debts'!$F$11&lt;&gt;"",'Your debts'!$F$6&lt;'Your debts'!$F$11),H252,0)+IF(AND('Your debts'!$F$7&lt;&gt;"",'Your debts'!$F$11&lt;&gt;"",'Your debts'!$F$7&lt;'Your debts'!$F$11),M252,0)+IF(AND('Your debts'!$F$8&lt;&gt;"",'Your debts'!$F$11&lt;&gt;"",'Your debts'!$F$8&lt;'Your debts'!$F$11),R252,0)+IF(AND('Your debts'!$F$9&lt;&gt;"",'Your debts'!$F$11&lt;&gt;"",'Your debts'!$F$9&lt;'Your debts'!$F$11),W252,0)+IF(AND('Your debts'!$F$10&lt;&gt;"",'Your debts'!$F$11&lt;&gt;"",'Your debts'!$F$10&lt;'Your debts'!$F$11),AB252,0)+IF(AND('Your debts'!$F$12&lt;&gt;"",'Your debts'!$F$11&lt;&gt;"",'Your debts'!$F$12&lt;'Your debts'!$F$11),AL252,0)+IF(AND('Your debts'!$F$13&lt;&gt;"",'Your debts'!$F$11&lt;&gt;"",'Your debts'!$F$13&lt;'Your debts'!$F$11),AQ252,0)+IF(AND('Your debts'!$F$14&lt;&gt;"",'Your debts'!$F$11&lt;&gt;"",'Your debts'!$F$14&lt;'Your debts'!$F$11),AV252,0)+IF(AND('Your debts'!$F$15&lt;&gt;"",'Your debts'!$F$11&lt;&gt;"",'Your debts'!$F$15&lt;'Your debts'!$F$11),BA252,0)))))</f>
        <v/>
      </c>
      <c r="AI252" s="33">
        <f>AG252-AH252</f>
        <v/>
      </c>
      <c r="AJ252" s="33">
        <f>IF(AN251&lt;=0,0,ROUND(AN251*(1+'Your debts'!$D$12/1200),2))</f>
        <v/>
      </c>
      <c r="AK252" s="33">
        <f>IF(AJ252&lt;=0,0,MIN('Your debts'!$E$12,AJ252))</f>
        <v/>
      </c>
      <c r="AL252" s="33">
        <f>AJ252-AK252</f>
        <v/>
      </c>
      <c r="AM252" s="33">
        <f>IF('Your debts'!$F$12="",0,MIN(AL252,MAX(0,MAX(0,'Your debts'!$C$19-(G252+L252+Q252+V252+AA252+AF252+AK252+AP252+AU252+AZ252))-(IF(AND('Your debts'!$F$6&lt;&gt;"",'Your debts'!$F$12&lt;&gt;"",'Your debts'!$F$6&lt;'Your debts'!$F$12),H252,0)+IF(AND('Your debts'!$F$7&lt;&gt;"",'Your debts'!$F$12&lt;&gt;"",'Your debts'!$F$7&lt;'Your debts'!$F$12),M252,0)+IF(AND('Your debts'!$F$8&lt;&gt;"",'Your debts'!$F$12&lt;&gt;"",'Your debts'!$F$8&lt;'Your debts'!$F$12),R252,0)+IF(AND('Your debts'!$F$9&lt;&gt;"",'Your debts'!$F$12&lt;&gt;"",'Your debts'!$F$9&lt;'Your debts'!$F$12),W252,0)+IF(AND('Your debts'!$F$10&lt;&gt;"",'Your debts'!$F$12&lt;&gt;"",'Your debts'!$F$10&lt;'Your debts'!$F$12),AB252,0)+IF(AND('Your debts'!$F$11&lt;&gt;"",'Your debts'!$F$12&lt;&gt;"",'Your debts'!$F$11&lt;'Your debts'!$F$12),AG252,0)+IF(AND('Your debts'!$F$13&lt;&gt;"",'Your debts'!$F$12&lt;&gt;"",'Your debts'!$F$13&lt;'Your debts'!$F$12),AQ252,0)+IF(AND('Your debts'!$F$14&lt;&gt;"",'Your debts'!$F$12&lt;&gt;"",'Your debts'!$F$14&lt;'Your debts'!$F$12),AV252,0)+IF(AND('Your debts'!$F$15&lt;&gt;"",'Your debts'!$F$12&lt;&gt;"",'Your debts'!$F$15&lt;'Your debts'!$F$12),BA252,0)))))</f>
        <v/>
      </c>
      <c r="AN252" s="33">
        <f>AL252-AM252</f>
        <v/>
      </c>
      <c r="AO252" s="33">
        <f>IF(AS251&lt;=0,0,ROUND(AS251*(1+'Your debts'!$D$13/1200),2))</f>
        <v/>
      </c>
      <c r="AP252" s="33">
        <f>IF(AO252&lt;=0,0,MIN('Your debts'!$E$13,AO252))</f>
        <v/>
      </c>
      <c r="AQ252" s="33">
        <f>AO252-AP252</f>
        <v/>
      </c>
      <c r="AR252" s="33">
        <f>IF('Your debts'!$F$13="",0,MIN(AQ252,MAX(0,MAX(0,'Your debts'!$C$19-(G252+L252+Q252+V252+AA252+AF252+AK252+AP252+AU252+AZ252))-(IF(AND('Your debts'!$F$6&lt;&gt;"",'Your debts'!$F$13&lt;&gt;"",'Your debts'!$F$6&lt;'Your debts'!$F$13),H252,0)+IF(AND('Your debts'!$F$7&lt;&gt;"",'Your debts'!$F$13&lt;&gt;"",'Your debts'!$F$7&lt;'Your debts'!$F$13),M252,0)+IF(AND('Your debts'!$F$8&lt;&gt;"",'Your debts'!$F$13&lt;&gt;"",'Your debts'!$F$8&lt;'Your debts'!$F$13),R252,0)+IF(AND('Your debts'!$F$9&lt;&gt;"",'Your debts'!$F$13&lt;&gt;"",'Your debts'!$F$9&lt;'Your debts'!$F$13),W252,0)+IF(AND('Your debts'!$F$10&lt;&gt;"",'Your debts'!$F$13&lt;&gt;"",'Your debts'!$F$10&lt;'Your debts'!$F$13),AB252,0)+IF(AND('Your debts'!$F$11&lt;&gt;"",'Your debts'!$F$13&lt;&gt;"",'Your debts'!$F$11&lt;'Your debts'!$F$13),AG252,0)+IF(AND('Your debts'!$F$12&lt;&gt;"",'Your debts'!$F$13&lt;&gt;"",'Your debts'!$F$12&lt;'Your debts'!$F$13),AL252,0)+IF(AND('Your debts'!$F$14&lt;&gt;"",'Your debts'!$F$13&lt;&gt;"",'Your debts'!$F$14&lt;'Your debts'!$F$13),AV252,0)+IF(AND('Your debts'!$F$15&lt;&gt;"",'Your debts'!$F$13&lt;&gt;"",'Your debts'!$F$15&lt;'Your debts'!$F$13),BA252,0)))))</f>
        <v/>
      </c>
      <c r="AS252" s="33">
        <f>AQ252-AR252</f>
        <v/>
      </c>
      <c r="AT252" s="33">
        <f>IF(AX251&lt;=0,0,ROUND(AX251*(1+'Your debts'!$D$14/1200),2))</f>
        <v/>
      </c>
      <c r="AU252" s="33">
        <f>IF(AT252&lt;=0,0,MIN('Your debts'!$E$14,AT252))</f>
        <v/>
      </c>
      <c r="AV252" s="33">
        <f>AT252-AU252</f>
        <v/>
      </c>
      <c r="AW252" s="33">
        <f>IF('Your debts'!$F$14="",0,MIN(AV252,MAX(0,MAX(0,'Your debts'!$C$19-(G252+L252+Q252+V252+AA252+AF252+AK252+AP252+AU252+AZ252))-(IF(AND('Your debts'!$F$6&lt;&gt;"",'Your debts'!$F$14&lt;&gt;"",'Your debts'!$F$6&lt;'Your debts'!$F$14),H252,0)+IF(AND('Your debts'!$F$7&lt;&gt;"",'Your debts'!$F$14&lt;&gt;"",'Your debts'!$F$7&lt;'Your debts'!$F$14),M252,0)+IF(AND('Your debts'!$F$8&lt;&gt;"",'Your debts'!$F$14&lt;&gt;"",'Your debts'!$F$8&lt;'Your debts'!$F$14),R252,0)+IF(AND('Your debts'!$F$9&lt;&gt;"",'Your debts'!$F$14&lt;&gt;"",'Your debts'!$F$9&lt;'Your debts'!$F$14),W252,0)+IF(AND('Your debts'!$F$10&lt;&gt;"",'Your debts'!$F$14&lt;&gt;"",'Your debts'!$F$10&lt;'Your debts'!$F$14),AB252,0)+IF(AND('Your debts'!$F$11&lt;&gt;"",'Your debts'!$F$14&lt;&gt;"",'Your debts'!$F$11&lt;'Your debts'!$F$14),AG252,0)+IF(AND('Your debts'!$F$12&lt;&gt;"",'Your debts'!$F$14&lt;&gt;"",'Your debts'!$F$12&lt;'Your debts'!$F$14),AL252,0)+IF(AND('Your debts'!$F$13&lt;&gt;"",'Your debts'!$F$14&lt;&gt;"",'Your debts'!$F$13&lt;'Your debts'!$F$14),AQ252,0)+IF(AND('Your debts'!$F$15&lt;&gt;"",'Your debts'!$F$14&lt;&gt;"",'Your debts'!$F$15&lt;'Your debts'!$F$14),BA252,0)))))</f>
        <v/>
      </c>
      <c r="AX252" s="33">
        <f>AV252-AW252</f>
        <v/>
      </c>
      <c r="AY252" s="33">
        <f>IF(BC251&lt;=0,0,ROUND(BC251*(1+'Your debts'!$D$15/1200),2))</f>
        <v/>
      </c>
      <c r="AZ252" s="33">
        <f>IF(AY252&lt;=0,0,MIN('Your debts'!$E$15,AY252))</f>
        <v/>
      </c>
      <c r="BA252" s="33">
        <f>AY252-AZ252</f>
        <v/>
      </c>
      <c r="BB252" s="33">
        <f>IF('Your debts'!$F$15="",0,MIN(BA252,MAX(0,MAX(0,'Your debts'!$C$19-(G252+L252+Q252+V252+AA252+AF252+AK252+AP252+AU252+AZ252))-(IF(AND('Your debts'!$F$6&lt;&gt;"",'Your debts'!$F$15&lt;&gt;"",'Your debts'!$F$6&lt;'Your debts'!$F$15),H252,0)+IF(AND('Your debts'!$F$7&lt;&gt;"",'Your debts'!$F$15&lt;&gt;"",'Your debts'!$F$7&lt;'Your debts'!$F$15),M252,0)+IF(AND('Your debts'!$F$8&lt;&gt;"",'Your debts'!$F$15&lt;&gt;"",'Your debts'!$F$8&lt;'Your debts'!$F$15),R252,0)+IF(AND('Your debts'!$F$9&lt;&gt;"",'Your debts'!$F$15&lt;&gt;"",'Your debts'!$F$9&lt;'Your debts'!$F$15),W252,0)+IF(AND('Your debts'!$F$10&lt;&gt;"",'Your debts'!$F$15&lt;&gt;"",'Your debts'!$F$10&lt;'Your debts'!$F$15),AB252,0)+IF(AND('Your debts'!$F$11&lt;&gt;"",'Your debts'!$F$15&lt;&gt;"",'Your debts'!$F$11&lt;'Your debts'!$F$15),AG252,0)+IF(AND('Your debts'!$F$12&lt;&gt;"",'Your debts'!$F$15&lt;&gt;"",'Your debts'!$F$12&lt;'Your debts'!$F$15),AL252,0)+IF(AND('Your debts'!$F$13&lt;&gt;"",'Your debts'!$F$15&lt;&gt;"",'Your debts'!$F$13&lt;'Your debts'!$F$15),AQ252,0)+IF(AND('Your debts'!$F$14&lt;&gt;"",'Your debts'!$F$15&lt;&gt;"",'Your debts'!$F$14&lt;'Your debts'!$F$15),AV252,0)))))</f>
        <v/>
      </c>
      <c r="BC252" s="33">
        <f>BA252-BB252</f>
        <v/>
      </c>
    </row>
    <row r="253">
      <c r="A253" s="30" t="n">
        <v>238</v>
      </c>
      <c r="B253" s="31">
        <f>EDATE($B$15,238)</f>
        <v/>
      </c>
      <c r="C253" s="32">
        <f>IF(J252&lt;=0,0,F253-J252)+IF(O252&lt;=0,0,K253-O252)+IF(T252&lt;=0,0,P253-T252)+IF(Y252&lt;=0,0,U253-Y252)+IF(AD252&lt;=0,0,Z253-AD252)+IF(AI252&lt;=0,0,AE253-AI252)+IF(AN252&lt;=0,0,AJ253-AN252)+IF(AS252&lt;=0,0,AO253-AS252)+IF(AX252&lt;=0,0,AT253-AX252)+IF(BC252&lt;=0,0,AY253-BC252)</f>
        <v/>
      </c>
      <c r="D253" s="32">
        <f>G253+I253+L253+N253+Q253+S253+V253+X253+AA253+AC253+AF253+AH253+AK253+AM253+AP253+AR253+AU253+AW253+AZ253+BB253</f>
        <v/>
      </c>
      <c r="E253" s="32">
        <f>J253+O253+T253+Y253+AD253+AI253+AN253+AS253+AX253+BC253</f>
        <v/>
      </c>
      <c r="F253" s="33">
        <f>IF(J252&lt;=0,0,ROUND(J252*(1+'Your debts'!$D$6/1200),2))</f>
        <v/>
      </c>
      <c r="G253" s="33">
        <f>IF(F253&lt;=0,0,MIN('Your debts'!$E$6,F253))</f>
        <v/>
      </c>
      <c r="H253" s="33">
        <f>F253-G253</f>
        <v/>
      </c>
      <c r="I253" s="33">
        <f>IF('Your debts'!$F$6="",0,MIN(H253,MAX(0,MAX(0,'Your debts'!$C$19-(G253+L253+Q253+V253+AA253+AF253+AK253+AP253+AU253+AZ253))-(IF(AND('Your debts'!$F$7&lt;&gt;"",'Your debts'!$F$6&lt;&gt;"",'Your debts'!$F$7&lt;'Your debts'!$F$6),M253,0)+IF(AND('Your debts'!$F$8&lt;&gt;"",'Your debts'!$F$6&lt;&gt;"",'Your debts'!$F$8&lt;'Your debts'!$F$6),R253,0)+IF(AND('Your debts'!$F$9&lt;&gt;"",'Your debts'!$F$6&lt;&gt;"",'Your debts'!$F$9&lt;'Your debts'!$F$6),W253,0)+IF(AND('Your debts'!$F$10&lt;&gt;"",'Your debts'!$F$6&lt;&gt;"",'Your debts'!$F$10&lt;'Your debts'!$F$6),AB253,0)+IF(AND('Your debts'!$F$11&lt;&gt;"",'Your debts'!$F$6&lt;&gt;"",'Your debts'!$F$11&lt;'Your debts'!$F$6),AG253,0)+IF(AND('Your debts'!$F$12&lt;&gt;"",'Your debts'!$F$6&lt;&gt;"",'Your debts'!$F$12&lt;'Your debts'!$F$6),AL253,0)+IF(AND('Your debts'!$F$13&lt;&gt;"",'Your debts'!$F$6&lt;&gt;"",'Your debts'!$F$13&lt;'Your debts'!$F$6),AQ253,0)+IF(AND('Your debts'!$F$14&lt;&gt;"",'Your debts'!$F$6&lt;&gt;"",'Your debts'!$F$14&lt;'Your debts'!$F$6),AV253,0)+IF(AND('Your debts'!$F$15&lt;&gt;"",'Your debts'!$F$6&lt;&gt;"",'Your debts'!$F$15&lt;'Your debts'!$F$6),BA253,0)))))</f>
        <v/>
      </c>
      <c r="J253" s="33">
        <f>H253-I253</f>
        <v/>
      </c>
      <c r="K253" s="33">
        <f>IF(O252&lt;=0,0,ROUND(O252*(1+'Your debts'!$D$7/1200),2))</f>
        <v/>
      </c>
      <c r="L253" s="33">
        <f>IF(K253&lt;=0,0,MIN('Your debts'!$E$7,K253))</f>
        <v/>
      </c>
      <c r="M253" s="33">
        <f>K253-L253</f>
        <v/>
      </c>
      <c r="N253" s="33">
        <f>IF('Your debts'!$F$7="",0,MIN(M253,MAX(0,MAX(0,'Your debts'!$C$19-(G253+L253+Q253+V253+AA253+AF253+AK253+AP253+AU253+AZ253))-(IF(AND('Your debts'!$F$6&lt;&gt;"",'Your debts'!$F$7&lt;&gt;"",'Your debts'!$F$6&lt;'Your debts'!$F$7),H253,0)+IF(AND('Your debts'!$F$8&lt;&gt;"",'Your debts'!$F$7&lt;&gt;"",'Your debts'!$F$8&lt;'Your debts'!$F$7),R253,0)+IF(AND('Your debts'!$F$9&lt;&gt;"",'Your debts'!$F$7&lt;&gt;"",'Your debts'!$F$9&lt;'Your debts'!$F$7),W253,0)+IF(AND('Your debts'!$F$10&lt;&gt;"",'Your debts'!$F$7&lt;&gt;"",'Your debts'!$F$10&lt;'Your debts'!$F$7),AB253,0)+IF(AND('Your debts'!$F$11&lt;&gt;"",'Your debts'!$F$7&lt;&gt;"",'Your debts'!$F$11&lt;'Your debts'!$F$7),AG253,0)+IF(AND('Your debts'!$F$12&lt;&gt;"",'Your debts'!$F$7&lt;&gt;"",'Your debts'!$F$12&lt;'Your debts'!$F$7),AL253,0)+IF(AND('Your debts'!$F$13&lt;&gt;"",'Your debts'!$F$7&lt;&gt;"",'Your debts'!$F$13&lt;'Your debts'!$F$7),AQ253,0)+IF(AND('Your debts'!$F$14&lt;&gt;"",'Your debts'!$F$7&lt;&gt;"",'Your debts'!$F$14&lt;'Your debts'!$F$7),AV253,0)+IF(AND('Your debts'!$F$15&lt;&gt;"",'Your debts'!$F$7&lt;&gt;"",'Your debts'!$F$15&lt;'Your debts'!$F$7),BA253,0)))))</f>
        <v/>
      </c>
      <c r="O253" s="33">
        <f>M253-N253</f>
        <v/>
      </c>
      <c r="P253" s="33">
        <f>IF(T252&lt;=0,0,ROUND(T252*(1+'Your debts'!$D$8/1200),2))</f>
        <v/>
      </c>
      <c r="Q253" s="33">
        <f>IF(P253&lt;=0,0,MIN('Your debts'!$E$8,P253))</f>
        <v/>
      </c>
      <c r="R253" s="33">
        <f>P253-Q253</f>
        <v/>
      </c>
      <c r="S253" s="33">
        <f>IF('Your debts'!$F$8="",0,MIN(R253,MAX(0,MAX(0,'Your debts'!$C$19-(G253+L253+Q253+V253+AA253+AF253+AK253+AP253+AU253+AZ253))-(IF(AND('Your debts'!$F$6&lt;&gt;"",'Your debts'!$F$8&lt;&gt;"",'Your debts'!$F$6&lt;'Your debts'!$F$8),H253,0)+IF(AND('Your debts'!$F$7&lt;&gt;"",'Your debts'!$F$8&lt;&gt;"",'Your debts'!$F$7&lt;'Your debts'!$F$8),M253,0)+IF(AND('Your debts'!$F$9&lt;&gt;"",'Your debts'!$F$8&lt;&gt;"",'Your debts'!$F$9&lt;'Your debts'!$F$8),W253,0)+IF(AND('Your debts'!$F$10&lt;&gt;"",'Your debts'!$F$8&lt;&gt;"",'Your debts'!$F$10&lt;'Your debts'!$F$8),AB253,0)+IF(AND('Your debts'!$F$11&lt;&gt;"",'Your debts'!$F$8&lt;&gt;"",'Your debts'!$F$11&lt;'Your debts'!$F$8),AG253,0)+IF(AND('Your debts'!$F$12&lt;&gt;"",'Your debts'!$F$8&lt;&gt;"",'Your debts'!$F$12&lt;'Your debts'!$F$8),AL253,0)+IF(AND('Your debts'!$F$13&lt;&gt;"",'Your debts'!$F$8&lt;&gt;"",'Your debts'!$F$13&lt;'Your debts'!$F$8),AQ253,0)+IF(AND('Your debts'!$F$14&lt;&gt;"",'Your debts'!$F$8&lt;&gt;"",'Your debts'!$F$14&lt;'Your debts'!$F$8),AV253,0)+IF(AND('Your debts'!$F$15&lt;&gt;"",'Your debts'!$F$8&lt;&gt;"",'Your debts'!$F$15&lt;'Your debts'!$F$8),BA253,0)))))</f>
        <v/>
      </c>
      <c r="T253" s="33">
        <f>R253-S253</f>
        <v/>
      </c>
      <c r="U253" s="33">
        <f>IF(Y252&lt;=0,0,ROUND(Y252*(1+'Your debts'!$D$9/1200),2))</f>
        <v/>
      </c>
      <c r="V253" s="33">
        <f>IF(U253&lt;=0,0,MIN('Your debts'!$E$9,U253))</f>
        <v/>
      </c>
      <c r="W253" s="33">
        <f>U253-V253</f>
        <v/>
      </c>
      <c r="X253" s="33">
        <f>IF('Your debts'!$F$9="",0,MIN(W253,MAX(0,MAX(0,'Your debts'!$C$19-(G253+L253+Q253+V253+AA253+AF253+AK253+AP253+AU253+AZ253))-(IF(AND('Your debts'!$F$6&lt;&gt;"",'Your debts'!$F$9&lt;&gt;"",'Your debts'!$F$6&lt;'Your debts'!$F$9),H253,0)+IF(AND('Your debts'!$F$7&lt;&gt;"",'Your debts'!$F$9&lt;&gt;"",'Your debts'!$F$7&lt;'Your debts'!$F$9),M253,0)+IF(AND('Your debts'!$F$8&lt;&gt;"",'Your debts'!$F$9&lt;&gt;"",'Your debts'!$F$8&lt;'Your debts'!$F$9),R253,0)+IF(AND('Your debts'!$F$10&lt;&gt;"",'Your debts'!$F$9&lt;&gt;"",'Your debts'!$F$10&lt;'Your debts'!$F$9),AB253,0)+IF(AND('Your debts'!$F$11&lt;&gt;"",'Your debts'!$F$9&lt;&gt;"",'Your debts'!$F$11&lt;'Your debts'!$F$9),AG253,0)+IF(AND('Your debts'!$F$12&lt;&gt;"",'Your debts'!$F$9&lt;&gt;"",'Your debts'!$F$12&lt;'Your debts'!$F$9),AL253,0)+IF(AND('Your debts'!$F$13&lt;&gt;"",'Your debts'!$F$9&lt;&gt;"",'Your debts'!$F$13&lt;'Your debts'!$F$9),AQ253,0)+IF(AND('Your debts'!$F$14&lt;&gt;"",'Your debts'!$F$9&lt;&gt;"",'Your debts'!$F$14&lt;'Your debts'!$F$9),AV253,0)+IF(AND('Your debts'!$F$15&lt;&gt;"",'Your debts'!$F$9&lt;&gt;"",'Your debts'!$F$15&lt;'Your debts'!$F$9),BA253,0)))))</f>
        <v/>
      </c>
      <c r="Y253" s="33">
        <f>W253-X253</f>
        <v/>
      </c>
      <c r="Z253" s="33">
        <f>IF(AD252&lt;=0,0,ROUND(AD252*(1+'Your debts'!$D$10/1200),2))</f>
        <v/>
      </c>
      <c r="AA253" s="33">
        <f>IF(Z253&lt;=0,0,MIN('Your debts'!$E$10,Z253))</f>
        <v/>
      </c>
      <c r="AB253" s="33">
        <f>Z253-AA253</f>
        <v/>
      </c>
      <c r="AC253" s="33">
        <f>IF('Your debts'!$F$10="",0,MIN(AB253,MAX(0,MAX(0,'Your debts'!$C$19-(G253+L253+Q253+V253+AA253+AF253+AK253+AP253+AU253+AZ253))-(IF(AND('Your debts'!$F$6&lt;&gt;"",'Your debts'!$F$10&lt;&gt;"",'Your debts'!$F$6&lt;'Your debts'!$F$10),H253,0)+IF(AND('Your debts'!$F$7&lt;&gt;"",'Your debts'!$F$10&lt;&gt;"",'Your debts'!$F$7&lt;'Your debts'!$F$10),M253,0)+IF(AND('Your debts'!$F$8&lt;&gt;"",'Your debts'!$F$10&lt;&gt;"",'Your debts'!$F$8&lt;'Your debts'!$F$10),R253,0)+IF(AND('Your debts'!$F$9&lt;&gt;"",'Your debts'!$F$10&lt;&gt;"",'Your debts'!$F$9&lt;'Your debts'!$F$10),W253,0)+IF(AND('Your debts'!$F$11&lt;&gt;"",'Your debts'!$F$10&lt;&gt;"",'Your debts'!$F$11&lt;'Your debts'!$F$10),AG253,0)+IF(AND('Your debts'!$F$12&lt;&gt;"",'Your debts'!$F$10&lt;&gt;"",'Your debts'!$F$12&lt;'Your debts'!$F$10),AL253,0)+IF(AND('Your debts'!$F$13&lt;&gt;"",'Your debts'!$F$10&lt;&gt;"",'Your debts'!$F$13&lt;'Your debts'!$F$10),AQ253,0)+IF(AND('Your debts'!$F$14&lt;&gt;"",'Your debts'!$F$10&lt;&gt;"",'Your debts'!$F$14&lt;'Your debts'!$F$10),AV253,0)+IF(AND('Your debts'!$F$15&lt;&gt;"",'Your debts'!$F$10&lt;&gt;"",'Your debts'!$F$15&lt;'Your debts'!$F$10),BA253,0)))))</f>
        <v/>
      </c>
      <c r="AD253" s="33">
        <f>AB253-AC253</f>
        <v/>
      </c>
      <c r="AE253" s="33">
        <f>IF(AI252&lt;=0,0,ROUND(AI252*(1+'Your debts'!$D$11/1200),2))</f>
        <v/>
      </c>
      <c r="AF253" s="33">
        <f>IF(AE253&lt;=0,0,MIN('Your debts'!$E$11,AE253))</f>
        <v/>
      </c>
      <c r="AG253" s="33">
        <f>AE253-AF253</f>
        <v/>
      </c>
      <c r="AH253" s="33">
        <f>IF('Your debts'!$F$11="",0,MIN(AG253,MAX(0,MAX(0,'Your debts'!$C$19-(G253+L253+Q253+V253+AA253+AF253+AK253+AP253+AU253+AZ253))-(IF(AND('Your debts'!$F$6&lt;&gt;"",'Your debts'!$F$11&lt;&gt;"",'Your debts'!$F$6&lt;'Your debts'!$F$11),H253,0)+IF(AND('Your debts'!$F$7&lt;&gt;"",'Your debts'!$F$11&lt;&gt;"",'Your debts'!$F$7&lt;'Your debts'!$F$11),M253,0)+IF(AND('Your debts'!$F$8&lt;&gt;"",'Your debts'!$F$11&lt;&gt;"",'Your debts'!$F$8&lt;'Your debts'!$F$11),R253,0)+IF(AND('Your debts'!$F$9&lt;&gt;"",'Your debts'!$F$11&lt;&gt;"",'Your debts'!$F$9&lt;'Your debts'!$F$11),W253,0)+IF(AND('Your debts'!$F$10&lt;&gt;"",'Your debts'!$F$11&lt;&gt;"",'Your debts'!$F$10&lt;'Your debts'!$F$11),AB253,0)+IF(AND('Your debts'!$F$12&lt;&gt;"",'Your debts'!$F$11&lt;&gt;"",'Your debts'!$F$12&lt;'Your debts'!$F$11),AL253,0)+IF(AND('Your debts'!$F$13&lt;&gt;"",'Your debts'!$F$11&lt;&gt;"",'Your debts'!$F$13&lt;'Your debts'!$F$11),AQ253,0)+IF(AND('Your debts'!$F$14&lt;&gt;"",'Your debts'!$F$11&lt;&gt;"",'Your debts'!$F$14&lt;'Your debts'!$F$11),AV253,0)+IF(AND('Your debts'!$F$15&lt;&gt;"",'Your debts'!$F$11&lt;&gt;"",'Your debts'!$F$15&lt;'Your debts'!$F$11),BA253,0)))))</f>
        <v/>
      </c>
      <c r="AI253" s="33">
        <f>AG253-AH253</f>
        <v/>
      </c>
      <c r="AJ253" s="33">
        <f>IF(AN252&lt;=0,0,ROUND(AN252*(1+'Your debts'!$D$12/1200),2))</f>
        <v/>
      </c>
      <c r="AK253" s="33">
        <f>IF(AJ253&lt;=0,0,MIN('Your debts'!$E$12,AJ253))</f>
        <v/>
      </c>
      <c r="AL253" s="33">
        <f>AJ253-AK253</f>
        <v/>
      </c>
      <c r="AM253" s="33">
        <f>IF('Your debts'!$F$12="",0,MIN(AL253,MAX(0,MAX(0,'Your debts'!$C$19-(G253+L253+Q253+V253+AA253+AF253+AK253+AP253+AU253+AZ253))-(IF(AND('Your debts'!$F$6&lt;&gt;"",'Your debts'!$F$12&lt;&gt;"",'Your debts'!$F$6&lt;'Your debts'!$F$12),H253,0)+IF(AND('Your debts'!$F$7&lt;&gt;"",'Your debts'!$F$12&lt;&gt;"",'Your debts'!$F$7&lt;'Your debts'!$F$12),M253,0)+IF(AND('Your debts'!$F$8&lt;&gt;"",'Your debts'!$F$12&lt;&gt;"",'Your debts'!$F$8&lt;'Your debts'!$F$12),R253,0)+IF(AND('Your debts'!$F$9&lt;&gt;"",'Your debts'!$F$12&lt;&gt;"",'Your debts'!$F$9&lt;'Your debts'!$F$12),W253,0)+IF(AND('Your debts'!$F$10&lt;&gt;"",'Your debts'!$F$12&lt;&gt;"",'Your debts'!$F$10&lt;'Your debts'!$F$12),AB253,0)+IF(AND('Your debts'!$F$11&lt;&gt;"",'Your debts'!$F$12&lt;&gt;"",'Your debts'!$F$11&lt;'Your debts'!$F$12),AG253,0)+IF(AND('Your debts'!$F$13&lt;&gt;"",'Your debts'!$F$12&lt;&gt;"",'Your debts'!$F$13&lt;'Your debts'!$F$12),AQ253,0)+IF(AND('Your debts'!$F$14&lt;&gt;"",'Your debts'!$F$12&lt;&gt;"",'Your debts'!$F$14&lt;'Your debts'!$F$12),AV253,0)+IF(AND('Your debts'!$F$15&lt;&gt;"",'Your debts'!$F$12&lt;&gt;"",'Your debts'!$F$15&lt;'Your debts'!$F$12),BA253,0)))))</f>
        <v/>
      </c>
      <c r="AN253" s="33">
        <f>AL253-AM253</f>
        <v/>
      </c>
      <c r="AO253" s="33">
        <f>IF(AS252&lt;=0,0,ROUND(AS252*(1+'Your debts'!$D$13/1200),2))</f>
        <v/>
      </c>
      <c r="AP253" s="33">
        <f>IF(AO253&lt;=0,0,MIN('Your debts'!$E$13,AO253))</f>
        <v/>
      </c>
      <c r="AQ253" s="33">
        <f>AO253-AP253</f>
        <v/>
      </c>
      <c r="AR253" s="33">
        <f>IF('Your debts'!$F$13="",0,MIN(AQ253,MAX(0,MAX(0,'Your debts'!$C$19-(G253+L253+Q253+V253+AA253+AF253+AK253+AP253+AU253+AZ253))-(IF(AND('Your debts'!$F$6&lt;&gt;"",'Your debts'!$F$13&lt;&gt;"",'Your debts'!$F$6&lt;'Your debts'!$F$13),H253,0)+IF(AND('Your debts'!$F$7&lt;&gt;"",'Your debts'!$F$13&lt;&gt;"",'Your debts'!$F$7&lt;'Your debts'!$F$13),M253,0)+IF(AND('Your debts'!$F$8&lt;&gt;"",'Your debts'!$F$13&lt;&gt;"",'Your debts'!$F$8&lt;'Your debts'!$F$13),R253,0)+IF(AND('Your debts'!$F$9&lt;&gt;"",'Your debts'!$F$13&lt;&gt;"",'Your debts'!$F$9&lt;'Your debts'!$F$13),W253,0)+IF(AND('Your debts'!$F$10&lt;&gt;"",'Your debts'!$F$13&lt;&gt;"",'Your debts'!$F$10&lt;'Your debts'!$F$13),AB253,0)+IF(AND('Your debts'!$F$11&lt;&gt;"",'Your debts'!$F$13&lt;&gt;"",'Your debts'!$F$11&lt;'Your debts'!$F$13),AG253,0)+IF(AND('Your debts'!$F$12&lt;&gt;"",'Your debts'!$F$13&lt;&gt;"",'Your debts'!$F$12&lt;'Your debts'!$F$13),AL253,0)+IF(AND('Your debts'!$F$14&lt;&gt;"",'Your debts'!$F$13&lt;&gt;"",'Your debts'!$F$14&lt;'Your debts'!$F$13),AV253,0)+IF(AND('Your debts'!$F$15&lt;&gt;"",'Your debts'!$F$13&lt;&gt;"",'Your debts'!$F$15&lt;'Your debts'!$F$13),BA253,0)))))</f>
        <v/>
      </c>
      <c r="AS253" s="33">
        <f>AQ253-AR253</f>
        <v/>
      </c>
      <c r="AT253" s="33">
        <f>IF(AX252&lt;=0,0,ROUND(AX252*(1+'Your debts'!$D$14/1200),2))</f>
        <v/>
      </c>
      <c r="AU253" s="33">
        <f>IF(AT253&lt;=0,0,MIN('Your debts'!$E$14,AT253))</f>
        <v/>
      </c>
      <c r="AV253" s="33">
        <f>AT253-AU253</f>
        <v/>
      </c>
      <c r="AW253" s="33">
        <f>IF('Your debts'!$F$14="",0,MIN(AV253,MAX(0,MAX(0,'Your debts'!$C$19-(G253+L253+Q253+V253+AA253+AF253+AK253+AP253+AU253+AZ253))-(IF(AND('Your debts'!$F$6&lt;&gt;"",'Your debts'!$F$14&lt;&gt;"",'Your debts'!$F$6&lt;'Your debts'!$F$14),H253,0)+IF(AND('Your debts'!$F$7&lt;&gt;"",'Your debts'!$F$14&lt;&gt;"",'Your debts'!$F$7&lt;'Your debts'!$F$14),M253,0)+IF(AND('Your debts'!$F$8&lt;&gt;"",'Your debts'!$F$14&lt;&gt;"",'Your debts'!$F$8&lt;'Your debts'!$F$14),R253,0)+IF(AND('Your debts'!$F$9&lt;&gt;"",'Your debts'!$F$14&lt;&gt;"",'Your debts'!$F$9&lt;'Your debts'!$F$14),W253,0)+IF(AND('Your debts'!$F$10&lt;&gt;"",'Your debts'!$F$14&lt;&gt;"",'Your debts'!$F$10&lt;'Your debts'!$F$14),AB253,0)+IF(AND('Your debts'!$F$11&lt;&gt;"",'Your debts'!$F$14&lt;&gt;"",'Your debts'!$F$11&lt;'Your debts'!$F$14),AG253,0)+IF(AND('Your debts'!$F$12&lt;&gt;"",'Your debts'!$F$14&lt;&gt;"",'Your debts'!$F$12&lt;'Your debts'!$F$14),AL253,0)+IF(AND('Your debts'!$F$13&lt;&gt;"",'Your debts'!$F$14&lt;&gt;"",'Your debts'!$F$13&lt;'Your debts'!$F$14),AQ253,0)+IF(AND('Your debts'!$F$15&lt;&gt;"",'Your debts'!$F$14&lt;&gt;"",'Your debts'!$F$15&lt;'Your debts'!$F$14),BA253,0)))))</f>
        <v/>
      </c>
      <c r="AX253" s="33">
        <f>AV253-AW253</f>
        <v/>
      </c>
      <c r="AY253" s="33">
        <f>IF(BC252&lt;=0,0,ROUND(BC252*(1+'Your debts'!$D$15/1200),2))</f>
        <v/>
      </c>
      <c r="AZ253" s="33">
        <f>IF(AY253&lt;=0,0,MIN('Your debts'!$E$15,AY253))</f>
        <v/>
      </c>
      <c r="BA253" s="33">
        <f>AY253-AZ253</f>
        <v/>
      </c>
      <c r="BB253" s="33">
        <f>IF('Your debts'!$F$15="",0,MIN(BA253,MAX(0,MAX(0,'Your debts'!$C$19-(G253+L253+Q253+V253+AA253+AF253+AK253+AP253+AU253+AZ253))-(IF(AND('Your debts'!$F$6&lt;&gt;"",'Your debts'!$F$15&lt;&gt;"",'Your debts'!$F$6&lt;'Your debts'!$F$15),H253,0)+IF(AND('Your debts'!$F$7&lt;&gt;"",'Your debts'!$F$15&lt;&gt;"",'Your debts'!$F$7&lt;'Your debts'!$F$15),M253,0)+IF(AND('Your debts'!$F$8&lt;&gt;"",'Your debts'!$F$15&lt;&gt;"",'Your debts'!$F$8&lt;'Your debts'!$F$15),R253,0)+IF(AND('Your debts'!$F$9&lt;&gt;"",'Your debts'!$F$15&lt;&gt;"",'Your debts'!$F$9&lt;'Your debts'!$F$15),W253,0)+IF(AND('Your debts'!$F$10&lt;&gt;"",'Your debts'!$F$15&lt;&gt;"",'Your debts'!$F$10&lt;'Your debts'!$F$15),AB253,0)+IF(AND('Your debts'!$F$11&lt;&gt;"",'Your debts'!$F$15&lt;&gt;"",'Your debts'!$F$11&lt;'Your debts'!$F$15),AG253,0)+IF(AND('Your debts'!$F$12&lt;&gt;"",'Your debts'!$F$15&lt;&gt;"",'Your debts'!$F$12&lt;'Your debts'!$F$15),AL253,0)+IF(AND('Your debts'!$F$13&lt;&gt;"",'Your debts'!$F$15&lt;&gt;"",'Your debts'!$F$13&lt;'Your debts'!$F$15),AQ253,0)+IF(AND('Your debts'!$F$14&lt;&gt;"",'Your debts'!$F$15&lt;&gt;"",'Your debts'!$F$14&lt;'Your debts'!$F$15),AV253,0)))))</f>
        <v/>
      </c>
      <c r="BC253" s="33">
        <f>BA253-BB253</f>
        <v/>
      </c>
    </row>
    <row r="254">
      <c r="A254" s="30" t="n">
        <v>239</v>
      </c>
      <c r="B254" s="31">
        <f>EDATE($B$15,239)</f>
        <v/>
      </c>
      <c r="C254" s="32">
        <f>IF(J253&lt;=0,0,F254-J253)+IF(O253&lt;=0,0,K254-O253)+IF(T253&lt;=0,0,P254-T253)+IF(Y253&lt;=0,0,U254-Y253)+IF(AD253&lt;=0,0,Z254-AD253)+IF(AI253&lt;=0,0,AE254-AI253)+IF(AN253&lt;=0,0,AJ254-AN253)+IF(AS253&lt;=0,0,AO254-AS253)+IF(AX253&lt;=0,0,AT254-AX253)+IF(BC253&lt;=0,0,AY254-BC253)</f>
        <v/>
      </c>
      <c r="D254" s="32">
        <f>G254+I254+L254+N254+Q254+S254+V254+X254+AA254+AC254+AF254+AH254+AK254+AM254+AP254+AR254+AU254+AW254+AZ254+BB254</f>
        <v/>
      </c>
      <c r="E254" s="32">
        <f>J254+O254+T254+Y254+AD254+AI254+AN254+AS254+AX254+BC254</f>
        <v/>
      </c>
      <c r="F254" s="33">
        <f>IF(J253&lt;=0,0,ROUND(J253*(1+'Your debts'!$D$6/1200),2))</f>
        <v/>
      </c>
      <c r="G254" s="33">
        <f>IF(F254&lt;=0,0,MIN('Your debts'!$E$6,F254))</f>
        <v/>
      </c>
      <c r="H254" s="33">
        <f>F254-G254</f>
        <v/>
      </c>
      <c r="I254" s="33">
        <f>IF('Your debts'!$F$6="",0,MIN(H254,MAX(0,MAX(0,'Your debts'!$C$19-(G254+L254+Q254+V254+AA254+AF254+AK254+AP254+AU254+AZ254))-(IF(AND('Your debts'!$F$7&lt;&gt;"",'Your debts'!$F$6&lt;&gt;"",'Your debts'!$F$7&lt;'Your debts'!$F$6),M254,0)+IF(AND('Your debts'!$F$8&lt;&gt;"",'Your debts'!$F$6&lt;&gt;"",'Your debts'!$F$8&lt;'Your debts'!$F$6),R254,0)+IF(AND('Your debts'!$F$9&lt;&gt;"",'Your debts'!$F$6&lt;&gt;"",'Your debts'!$F$9&lt;'Your debts'!$F$6),W254,0)+IF(AND('Your debts'!$F$10&lt;&gt;"",'Your debts'!$F$6&lt;&gt;"",'Your debts'!$F$10&lt;'Your debts'!$F$6),AB254,0)+IF(AND('Your debts'!$F$11&lt;&gt;"",'Your debts'!$F$6&lt;&gt;"",'Your debts'!$F$11&lt;'Your debts'!$F$6),AG254,0)+IF(AND('Your debts'!$F$12&lt;&gt;"",'Your debts'!$F$6&lt;&gt;"",'Your debts'!$F$12&lt;'Your debts'!$F$6),AL254,0)+IF(AND('Your debts'!$F$13&lt;&gt;"",'Your debts'!$F$6&lt;&gt;"",'Your debts'!$F$13&lt;'Your debts'!$F$6),AQ254,0)+IF(AND('Your debts'!$F$14&lt;&gt;"",'Your debts'!$F$6&lt;&gt;"",'Your debts'!$F$14&lt;'Your debts'!$F$6),AV254,0)+IF(AND('Your debts'!$F$15&lt;&gt;"",'Your debts'!$F$6&lt;&gt;"",'Your debts'!$F$15&lt;'Your debts'!$F$6),BA254,0)))))</f>
        <v/>
      </c>
      <c r="J254" s="33">
        <f>H254-I254</f>
        <v/>
      </c>
      <c r="K254" s="33">
        <f>IF(O253&lt;=0,0,ROUND(O253*(1+'Your debts'!$D$7/1200),2))</f>
        <v/>
      </c>
      <c r="L254" s="33">
        <f>IF(K254&lt;=0,0,MIN('Your debts'!$E$7,K254))</f>
        <v/>
      </c>
      <c r="M254" s="33">
        <f>K254-L254</f>
        <v/>
      </c>
      <c r="N254" s="33">
        <f>IF('Your debts'!$F$7="",0,MIN(M254,MAX(0,MAX(0,'Your debts'!$C$19-(G254+L254+Q254+V254+AA254+AF254+AK254+AP254+AU254+AZ254))-(IF(AND('Your debts'!$F$6&lt;&gt;"",'Your debts'!$F$7&lt;&gt;"",'Your debts'!$F$6&lt;'Your debts'!$F$7),H254,0)+IF(AND('Your debts'!$F$8&lt;&gt;"",'Your debts'!$F$7&lt;&gt;"",'Your debts'!$F$8&lt;'Your debts'!$F$7),R254,0)+IF(AND('Your debts'!$F$9&lt;&gt;"",'Your debts'!$F$7&lt;&gt;"",'Your debts'!$F$9&lt;'Your debts'!$F$7),W254,0)+IF(AND('Your debts'!$F$10&lt;&gt;"",'Your debts'!$F$7&lt;&gt;"",'Your debts'!$F$10&lt;'Your debts'!$F$7),AB254,0)+IF(AND('Your debts'!$F$11&lt;&gt;"",'Your debts'!$F$7&lt;&gt;"",'Your debts'!$F$11&lt;'Your debts'!$F$7),AG254,0)+IF(AND('Your debts'!$F$12&lt;&gt;"",'Your debts'!$F$7&lt;&gt;"",'Your debts'!$F$12&lt;'Your debts'!$F$7),AL254,0)+IF(AND('Your debts'!$F$13&lt;&gt;"",'Your debts'!$F$7&lt;&gt;"",'Your debts'!$F$13&lt;'Your debts'!$F$7),AQ254,0)+IF(AND('Your debts'!$F$14&lt;&gt;"",'Your debts'!$F$7&lt;&gt;"",'Your debts'!$F$14&lt;'Your debts'!$F$7),AV254,0)+IF(AND('Your debts'!$F$15&lt;&gt;"",'Your debts'!$F$7&lt;&gt;"",'Your debts'!$F$15&lt;'Your debts'!$F$7),BA254,0)))))</f>
        <v/>
      </c>
      <c r="O254" s="33">
        <f>M254-N254</f>
        <v/>
      </c>
      <c r="P254" s="33">
        <f>IF(T253&lt;=0,0,ROUND(T253*(1+'Your debts'!$D$8/1200),2))</f>
        <v/>
      </c>
      <c r="Q254" s="33">
        <f>IF(P254&lt;=0,0,MIN('Your debts'!$E$8,P254))</f>
        <v/>
      </c>
      <c r="R254" s="33">
        <f>P254-Q254</f>
        <v/>
      </c>
      <c r="S254" s="33">
        <f>IF('Your debts'!$F$8="",0,MIN(R254,MAX(0,MAX(0,'Your debts'!$C$19-(G254+L254+Q254+V254+AA254+AF254+AK254+AP254+AU254+AZ254))-(IF(AND('Your debts'!$F$6&lt;&gt;"",'Your debts'!$F$8&lt;&gt;"",'Your debts'!$F$6&lt;'Your debts'!$F$8),H254,0)+IF(AND('Your debts'!$F$7&lt;&gt;"",'Your debts'!$F$8&lt;&gt;"",'Your debts'!$F$7&lt;'Your debts'!$F$8),M254,0)+IF(AND('Your debts'!$F$9&lt;&gt;"",'Your debts'!$F$8&lt;&gt;"",'Your debts'!$F$9&lt;'Your debts'!$F$8),W254,0)+IF(AND('Your debts'!$F$10&lt;&gt;"",'Your debts'!$F$8&lt;&gt;"",'Your debts'!$F$10&lt;'Your debts'!$F$8),AB254,0)+IF(AND('Your debts'!$F$11&lt;&gt;"",'Your debts'!$F$8&lt;&gt;"",'Your debts'!$F$11&lt;'Your debts'!$F$8),AG254,0)+IF(AND('Your debts'!$F$12&lt;&gt;"",'Your debts'!$F$8&lt;&gt;"",'Your debts'!$F$12&lt;'Your debts'!$F$8),AL254,0)+IF(AND('Your debts'!$F$13&lt;&gt;"",'Your debts'!$F$8&lt;&gt;"",'Your debts'!$F$13&lt;'Your debts'!$F$8),AQ254,0)+IF(AND('Your debts'!$F$14&lt;&gt;"",'Your debts'!$F$8&lt;&gt;"",'Your debts'!$F$14&lt;'Your debts'!$F$8),AV254,0)+IF(AND('Your debts'!$F$15&lt;&gt;"",'Your debts'!$F$8&lt;&gt;"",'Your debts'!$F$15&lt;'Your debts'!$F$8),BA254,0)))))</f>
        <v/>
      </c>
      <c r="T254" s="33">
        <f>R254-S254</f>
        <v/>
      </c>
      <c r="U254" s="33">
        <f>IF(Y253&lt;=0,0,ROUND(Y253*(1+'Your debts'!$D$9/1200),2))</f>
        <v/>
      </c>
      <c r="V254" s="33">
        <f>IF(U254&lt;=0,0,MIN('Your debts'!$E$9,U254))</f>
        <v/>
      </c>
      <c r="W254" s="33">
        <f>U254-V254</f>
        <v/>
      </c>
      <c r="X254" s="33">
        <f>IF('Your debts'!$F$9="",0,MIN(W254,MAX(0,MAX(0,'Your debts'!$C$19-(G254+L254+Q254+V254+AA254+AF254+AK254+AP254+AU254+AZ254))-(IF(AND('Your debts'!$F$6&lt;&gt;"",'Your debts'!$F$9&lt;&gt;"",'Your debts'!$F$6&lt;'Your debts'!$F$9),H254,0)+IF(AND('Your debts'!$F$7&lt;&gt;"",'Your debts'!$F$9&lt;&gt;"",'Your debts'!$F$7&lt;'Your debts'!$F$9),M254,0)+IF(AND('Your debts'!$F$8&lt;&gt;"",'Your debts'!$F$9&lt;&gt;"",'Your debts'!$F$8&lt;'Your debts'!$F$9),R254,0)+IF(AND('Your debts'!$F$10&lt;&gt;"",'Your debts'!$F$9&lt;&gt;"",'Your debts'!$F$10&lt;'Your debts'!$F$9),AB254,0)+IF(AND('Your debts'!$F$11&lt;&gt;"",'Your debts'!$F$9&lt;&gt;"",'Your debts'!$F$11&lt;'Your debts'!$F$9),AG254,0)+IF(AND('Your debts'!$F$12&lt;&gt;"",'Your debts'!$F$9&lt;&gt;"",'Your debts'!$F$12&lt;'Your debts'!$F$9),AL254,0)+IF(AND('Your debts'!$F$13&lt;&gt;"",'Your debts'!$F$9&lt;&gt;"",'Your debts'!$F$13&lt;'Your debts'!$F$9),AQ254,0)+IF(AND('Your debts'!$F$14&lt;&gt;"",'Your debts'!$F$9&lt;&gt;"",'Your debts'!$F$14&lt;'Your debts'!$F$9),AV254,0)+IF(AND('Your debts'!$F$15&lt;&gt;"",'Your debts'!$F$9&lt;&gt;"",'Your debts'!$F$15&lt;'Your debts'!$F$9),BA254,0)))))</f>
        <v/>
      </c>
      <c r="Y254" s="33">
        <f>W254-X254</f>
        <v/>
      </c>
      <c r="Z254" s="33">
        <f>IF(AD253&lt;=0,0,ROUND(AD253*(1+'Your debts'!$D$10/1200),2))</f>
        <v/>
      </c>
      <c r="AA254" s="33">
        <f>IF(Z254&lt;=0,0,MIN('Your debts'!$E$10,Z254))</f>
        <v/>
      </c>
      <c r="AB254" s="33">
        <f>Z254-AA254</f>
        <v/>
      </c>
      <c r="AC254" s="33">
        <f>IF('Your debts'!$F$10="",0,MIN(AB254,MAX(0,MAX(0,'Your debts'!$C$19-(G254+L254+Q254+V254+AA254+AF254+AK254+AP254+AU254+AZ254))-(IF(AND('Your debts'!$F$6&lt;&gt;"",'Your debts'!$F$10&lt;&gt;"",'Your debts'!$F$6&lt;'Your debts'!$F$10),H254,0)+IF(AND('Your debts'!$F$7&lt;&gt;"",'Your debts'!$F$10&lt;&gt;"",'Your debts'!$F$7&lt;'Your debts'!$F$10),M254,0)+IF(AND('Your debts'!$F$8&lt;&gt;"",'Your debts'!$F$10&lt;&gt;"",'Your debts'!$F$8&lt;'Your debts'!$F$10),R254,0)+IF(AND('Your debts'!$F$9&lt;&gt;"",'Your debts'!$F$10&lt;&gt;"",'Your debts'!$F$9&lt;'Your debts'!$F$10),W254,0)+IF(AND('Your debts'!$F$11&lt;&gt;"",'Your debts'!$F$10&lt;&gt;"",'Your debts'!$F$11&lt;'Your debts'!$F$10),AG254,0)+IF(AND('Your debts'!$F$12&lt;&gt;"",'Your debts'!$F$10&lt;&gt;"",'Your debts'!$F$12&lt;'Your debts'!$F$10),AL254,0)+IF(AND('Your debts'!$F$13&lt;&gt;"",'Your debts'!$F$10&lt;&gt;"",'Your debts'!$F$13&lt;'Your debts'!$F$10),AQ254,0)+IF(AND('Your debts'!$F$14&lt;&gt;"",'Your debts'!$F$10&lt;&gt;"",'Your debts'!$F$14&lt;'Your debts'!$F$10),AV254,0)+IF(AND('Your debts'!$F$15&lt;&gt;"",'Your debts'!$F$10&lt;&gt;"",'Your debts'!$F$15&lt;'Your debts'!$F$10),BA254,0)))))</f>
        <v/>
      </c>
      <c r="AD254" s="33">
        <f>AB254-AC254</f>
        <v/>
      </c>
      <c r="AE254" s="33">
        <f>IF(AI253&lt;=0,0,ROUND(AI253*(1+'Your debts'!$D$11/1200),2))</f>
        <v/>
      </c>
      <c r="AF254" s="33">
        <f>IF(AE254&lt;=0,0,MIN('Your debts'!$E$11,AE254))</f>
        <v/>
      </c>
      <c r="AG254" s="33">
        <f>AE254-AF254</f>
        <v/>
      </c>
      <c r="AH254" s="33">
        <f>IF('Your debts'!$F$11="",0,MIN(AG254,MAX(0,MAX(0,'Your debts'!$C$19-(G254+L254+Q254+V254+AA254+AF254+AK254+AP254+AU254+AZ254))-(IF(AND('Your debts'!$F$6&lt;&gt;"",'Your debts'!$F$11&lt;&gt;"",'Your debts'!$F$6&lt;'Your debts'!$F$11),H254,0)+IF(AND('Your debts'!$F$7&lt;&gt;"",'Your debts'!$F$11&lt;&gt;"",'Your debts'!$F$7&lt;'Your debts'!$F$11),M254,0)+IF(AND('Your debts'!$F$8&lt;&gt;"",'Your debts'!$F$11&lt;&gt;"",'Your debts'!$F$8&lt;'Your debts'!$F$11),R254,0)+IF(AND('Your debts'!$F$9&lt;&gt;"",'Your debts'!$F$11&lt;&gt;"",'Your debts'!$F$9&lt;'Your debts'!$F$11),W254,0)+IF(AND('Your debts'!$F$10&lt;&gt;"",'Your debts'!$F$11&lt;&gt;"",'Your debts'!$F$10&lt;'Your debts'!$F$11),AB254,0)+IF(AND('Your debts'!$F$12&lt;&gt;"",'Your debts'!$F$11&lt;&gt;"",'Your debts'!$F$12&lt;'Your debts'!$F$11),AL254,0)+IF(AND('Your debts'!$F$13&lt;&gt;"",'Your debts'!$F$11&lt;&gt;"",'Your debts'!$F$13&lt;'Your debts'!$F$11),AQ254,0)+IF(AND('Your debts'!$F$14&lt;&gt;"",'Your debts'!$F$11&lt;&gt;"",'Your debts'!$F$14&lt;'Your debts'!$F$11),AV254,0)+IF(AND('Your debts'!$F$15&lt;&gt;"",'Your debts'!$F$11&lt;&gt;"",'Your debts'!$F$15&lt;'Your debts'!$F$11),BA254,0)))))</f>
        <v/>
      </c>
      <c r="AI254" s="33">
        <f>AG254-AH254</f>
        <v/>
      </c>
      <c r="AJ254" s="33">
        <f>IF(AN253&lt;=0,0,ROUND(AN253*(1+'Your debts'!$D$12/1200),2))</f>
        <v/>
      </c>
      <c r="AK254" s="33">
        <f>IF(AJ254&lt;=0,0,MIN('Your debts'!$E$12,AJ254))</f>
        <v/>
      </c>
      <c r="AL254" s="33">
        <f>AJ254-AK254</f>
        <v/>
      </c>
      <c r="AM254" s="33">
        <f>IF('Your debts'!$F$12="",0,MIN(AL254,MAX(0,MAX(0,'Your debts'!$C$19-(G254+L254+Q254+V254+AA254+AF254+AK254+AP254+AU254+AZ254))-(IF(AND('Your debts'!$F$6&lt;&gt;"",'Your debts'!$F$12&lt;&gt;"",'Your debts'!$F$6&lt;'Your debts'!$F$12),H254,0)+IF(AND('Your debts'!$F$7&lt;&gt;"",'Your debts'!$F$12&lt;&gt;"",'Your debts'!$F$7&lt;'Your debts'!$F$12),M254,0)+IF(AND('Your debts'!$F$8&lt;&gt;"",'Your debts'!$F$12&lt;&gt;"",'Your debts'!$F$8&lt;'Your debts'!$F$12),R254,0)+IF(AND('Your debts'!$F$9&lt;&gt;"",'Your debts'!$F$12&lt;&gt;"",'Your debts'!$F$9&lt;'Your debts'!$F$12),W254,0)+IF(AND('Your debts'!$F$10&lt;&gt;"",'Your debts'!$F$12&lt;&gt;"",'Your debts'!$F$10&lt;'Your debts'!$F$12),AB254,0)+IF(AND('Your debts'!$F$11&lt;&gt;"",'Your debts'!$F$12&lt;&gt;"",'Your debts'!$F$11&lt;'Your debts'!$F$12),AG254,0)+IF(AND('Your debts'!$F$13&lt;&gt;"",'Your debts'!$F$12&lt;&gt;"",'Your debts'!$F$13&lt;'Your debts'!$F$12),AQ254,0)+IF(AND('Your debts'!$F$14&lt;&gt;"",'Your debts'!$F$12&lt;&gt;"",'Your debts'!$F$14&lt;'Your debts'!$F$12),AV254,0)+IF(AND('Your debts'!$F$15&lt;&gt;"",'Your debts'!$F$12&lt;&gt;"",'Your debts'!$F$15&lt;'Your debts'!$F$12),BA254,0)))))</f>
        <v/>
      </c>
      <c r="AN254" s="33">
        <f>AL254-AM254</f>
        <v/>
      </c>
      <c r="AO254" s="33">
        <f>IF(AS253&lt;=0,0,ROUND(AS253*(1+'Your debts'!$D$13/1200),2))</f>
        <v/>
      </c>
      <c r="AP254" s="33">
        <f>IF(AO254&lt;=0,0,MIN('Your debts'!$E$13,AO254))</f>
        <v/>
      </c>
      <c r="AQ254" s="33">
        <f>AO254-AP254</f>
        <v/>
      </c>
      <c r="AR254" s="33">
        <f>IF('Your debts'!$F$13="",0,MIN(AQ254,MAX(0,MAX(0,'Your debts'!$C$19-(G254+L254+Q254+V254+AA254+AF254+AK254+AP254+AU254+AZ254))-(IF(AND('Your debts'!$F$6&lt;&gt;"",'Your debts'!$F$13&lt;&gt;"",'Your debts'!$F$6&lt;'Your debts'!$F$13),H254,0)+IF(AND('Your debts'!$F$7&lt;&gt;"",'Your debts'!$F$13&lt;&gt;"",'Your debts'!$F$7&lt;'Your debts'!$F$13),M254,0)+IF(AND('Your debts'!$F$8&lt;&gt;"",'Your debts'!$F$13&lt;&gt;"",'Your debts'!$F$8&lt;'Your debts'!$F$13),R254,0)+IF(AND('Your debts'!$F$9&lt;&gt;"",'Your debts'!$F$13&lt;&gt;"",'Your debts'!$F$9&lt;'Your debts'!$F$13),W254,0)+IF(AND('Your debts'!$F$10&lt;&gt;"",'Your debts'!$F$13&lt;&gt;"",'Your debts'!$F$10&lt;'Your debts'!$F$13),AB254,0)+IF(AND('Your debts'!$F$11&lt;&gt;"",'Your debts'!$F$13&lt;&gt;"",'Your debts'!$F$11&lt;'Your debts'!$F$13),AG254,0)+IF(AND('Your debts'!$F$12&lt;&gt;"",'Your debts'!$F$13&lt;&gt;"",'Your debts'!$F$12&lt;'Your debts'!$F$13),AL254,0)+IF(AND('Your debts'!$F$14&lt;&gt;"",'Your debts'!$F$13&lt;&gt;"",'Your debts'!$F$14&lt;'Your debts'!$F$13),AV254,0)+IF(AND('Your debts'!$F$15&lt;&gt;"",'Your debts'!$F$13&lt;&gt;"",'Your debts'!$F$15&lt;'Your debts'!$F$13),BA254,0)))))</f>
        <v/>
      </c>
      <c r="AS254" s="33">
        <f>AQ254-AR254</f>
        <v/>
      </c>
      <c r="AT254" s="33">
        <f>IF(AX253&lt;=0,0,ROUND(AX253*(1+'Your debts'!$D$14/1200),2))</f>
        <v/>
      </c>
      <c r="AU254" s="33">
        <f>IF(AT254&lt;=0,0,MIN('Your debts'!$E$14,AT254))</f>
        <v/>
      </c>
      <c r="AV254" s="33">
        <f>AT254-AU254</f>
        <v/>
      </c>
      <c r="AW254" s="33">
        <f>IF('Your debts'!$F$14="",0,MIN(AV254,MAX(0,MAX(0,'Your debts'!$C$19-(G254+L254+Q254+V254+AA254+AF254+AK254+AP254+AU254+AZ254))-(IF(AND('Your debts'!$F$6&lt;&gt;"",'Your debts'!$F$14&lt;&gt;"",'Your debts'!$F$6&lt;'Your debts'!$F$14),H254,0)+IF(AND('Your debts'!$F$7&lt;&gt;"",'Your debts'!$F$14&lt;&gt;"",'Your debts'!$F$7&lt;'Your debts'!$F$14),M254,0)+IF(AND('Your debts'!$F$8&lt;&gt;"",'Your debts'!$F$14&lt;&gt;"",'Your debts'!$F$8&lt;'Your debts'!$F$14),R254,0)+IF(AND('Your debts'!$F$9&lt;&gt;"",'Your debts'!$F$14&lt;&gt;"",'Your debts'!$F$9&lt;'Your debts'!$F$14),W254,0)+IF(AND('Your debts'!$F$10&lt;&gt;"",'Your debts'!$F$14&lt;&gt;"",'Your debts'!$F$10&lt;'Your debts'!$F$14),AB254,0)+IF(AND('Your debts'!$F$11&lt;&gt;"",'Your debts'!$F$14&lt;&gt;"",'Your debts'!$F$11&lt;'Your debts'!$F$14),AG254,0)+IF(AND('Your debts'!$F$12&lt;&gt;"",'Your debts'!$F$14&lt;&gt;"",'Your debts'!$F$12&lt;'Your debts'!$F$14),AL254,0)+IF(AND('Your debts'!$F$13&lt;&gt;"",'Your debts'!$F$14&lt;&gt;"",'Your debts'!$F$13&lt;'Your debts'!$F$14),AQ254,0)+IF(AND('Your debts'!$F$15&lt;&gt;"",'Your debts'!$F$14&lt;&gt;"",'Your debts'!$F$15&lt;'Your debts'!$F$14),BA254,0)))))</f>
        <v/>
      </c>
      <c r="AX254" s="33">
        <f>AV254-AW254</f>
        <v/>
      </c>
      <c r="AY254" s="33">
        <f>IF(BC253&lt;=0,0,ROUND(BC253*(1+'Your debts'!$D$15/1200),2))</f>
        <v/>
      </c>
      <c r="AZ254" s="33">
        <f>IF(AY254&lt;=0,0,MIN('Your debts'!$E$15,AY254))</f>
        <v/>
      </c>
      <c r="BA254" s="33">
        <f>AY254-AZ254</f>
        <v/>
      </c>
      <c r="BB254" s="33">
        <f>IF('Your debts'!$F$15="",0,MIN(BA254,MAX(0,MAX(0,'Your debts'!$C$19-(G254+L254+Q254+V254+AA254+AF254+AK254+AP254+AU254+AZ254))-(IF(AND('Your debts'!$F$6&lt;&gt;"",'Your debts'!$F$15&lt;&gt;"",'Your debts'!$F$6&lt;'Your debts'!$F$15),H254,0)+IF(AND('Your debts'!$F$7&lt;&gt;"",'Your debts'!$F$15&lt;&gt;"",'Your debts'!$F$7&lt;'Your debts'!$F$15),M254,0)+IF(AND('Your debts'!$F$8&lt;&gt;"",'Your debts'!$F$15&lt;&gt;"",'Your debts'!$F$8&lt;'Your debts'!$F$15),R254,0)+IF(AND('Your debts'!$F$9&lt;&gt;"",'Your debts'!$F$15&lt;&gt;"",'Your debts'!$F$9&lt;'Your debts'!$F$15),W254,0)+IF(AND('Your debts'!$F$10&lt;&gt;"",'Your debts'!$F$15&lt;&gt;"",'Your debts'!$F$10&lt;'Your debts'!$F$15),AB254,0)+IF(AND('Your debts'!$F$11&lt;&gt;"",'Your debts'!$F$15&lt;&gt;"",'Your debts'!$F$11&lt;'Your debts'!$F$15),AG254,0)+IF(AND('Your debts'!$F$12&lt;&gt;"",'Your debts'!$F$15&lt;&gt;"",'Your debts'!$F$12&lt;'Your debts'!$F$15),AL254,0)+IF(AND('Your debts'!$F$13&lt;&gt;"",'Your debts'!$F$15&lt;&gt;"",'Your debts'!$F$13&lt;'Your debts'!$F$15),AQ254,0)+IF(AND('Your debts'!$F$14&lt;&gt;"",'Your debts'!$F$15&lt;&gt;"",'Your debts'!$F$14&lt;'Your debts'!$F$15),AV254,0)))))</f>
        <v/>
      </c>
      <c r="BC254" s="33">
        <f>BA254-BB254</f>
        <v/>
      </c>
    </row>
    <row r="255">
      <c r="A255" s="30" t="n">
        <v>240</v>
      </c>
      <c r="B255" s="31">
        <f>EDATE($B$15,240)</f>
        <v/>
      </c>
      <c r="C255" s="32">
        <f>IF(J254&lt;=0,0,F255-J254)+IF(O254&lt;=0,0,K255-O254)+IF(T254&lt;=0,0,P255-T254)+IF(Y254&lt;=0,0,U255-Y254)+IF(AD254&lt;=0,0,Z255-AD254)+IF(AI254&lt;=0,0,AE255-AI254)+IF(AN254&lt;=0,0,AJ255-AN254)+IF(AS254&lt;=0,0,AO255-AS254)+IF(AX254&lt;=0,0,AT255-AX254)+IF(BC254&lt;=0,0,AY255-BC254)</f>
        <v/>
      </c>
      <c r="D255" s="32">
        <f>G255+I255+L255+N255+Q255+S255+V255+X255+AA255+AC255+AF255+AH255+AK255+AM255+AP255+AR255+AU255+AW255+AZ255+BB255</f>
        <v/>
      </c>
      <c r="E255" s="32">
        <f>J255+O255+T255+Y255+AD255+AI255+AN255+AS255+AX255+BC255</f>
        <v/>
      </c>
      <c r="F255" s="33">
        <f>IF(J254&lt;=0,0,ROUND(J254*(1+'Your debts'!$D$6/1200),2))</f>
        <v/>
      </c>
      <c r="G255" s="33">
        <f>IF(F255&lt;=0,0,MIN('Your debts'!$E$6,F255))</f>
        <v/>
      </c>
      <c r="H255" s="33">
        <f>F255-G255</f>
        <v/>
      </c>
      <c r="I255" s="33">
        <f>IF('Your debts'!$F$6="",0,MIN(H255,MAX(0,MAX(0,'Your debts'!$C$19-(G255+L255+Q255+V255+AA255+AF255+AK255+AP255+AU255+AZ255))-(IF(AND('Your debts'!$F$7&lt;&gt;"",'Your debts'!$F$6&lt;&gt;"",'Your debts'!$F$7&lt;'Your debts'!$F$6),M255,0)+IF(AND('Your debts'!$F$8&lt;&gt;"",'Your debts'!$F$6&lt;&gt;"",'Your debts'!$F$8&lt;'Your debts'!$F$6),R255,0)+IF(AND('Your debts'!$F$9&lt;&gt;"",'Your debts'!$F$6&lt;&gt;"",'Your debts'!$F$9&lt;'Your debts'!$F$6),W255,0)+IF(AND('Your debts'!$F$10&lt;&gt;"",'Your debts'!$F$6&lt;&gt;"",'Your debts'!$F$10&lt;'Your debts'!$F$6),AB255,0)+IF(AND('Your debts'!$F$11&lt;&gt;"",'Your debts'!$F$6&lt;&gt;"",'Your debts'!$F$11&lt;'Your debts'!$F$6),AG255,0)+IF(AND('Your debts'!$F$12&lt;&gt;"",'Your debts'!$F$6&lt;&gt;"",'Your debts'!$F$12&lt;'Your debts'!$F$6),AL255,0)+IF(AND('Your debts'!$F$13&lt;&gt;"",'Your debts'!$F$6&lt;&gt;"",'Your debts'!$F$13&lt;'Your debts'!$F$6),AQ255,0)+IF(AND('Your debts'!$F$14&lt;&gt;"",'Your debts'!$F$6&lt;&gt;"",'Your debts'!$F$14&lt;'Your debts'!$F$6),AV255,0)+IF(AND('Your debts'!$F$15&lt;&gt;"",'Your debts'!$F$6&lt;&gt;"",'Your debts'!$F$15&lt;'Your debts'!$F$6),BA255,0)))))</f>
        <v/>
      </c>
      <c r="J255" s="33">
        <f>H255-I255</f>
        <v/>
      </c>
      <c r="K255" s="33">
        <f>IF(O254&lt;=0,0,ROUND(O254*(1+'Your debts'!$D$7/1200),2))</f>
        <v/>
      </c>
      <c r="L255" s="33">
        <f>IF(K255&lt;=0,0,MIN('Your debts'!$E$7,K255))</f>
        <v/>
      </c>
      <c r="M255" s="33">
        <f>K255-L255</f>
        <v/>
      </c>
      <c r="N255" s="33">
        <f>IF('Your debts'!$F$7="",0,MIN(M255,MAX(0,MAX(0,'Your debts'!$C$19-(G255+L255+Q255+V255+AA255+AF255+AK255+AP255+AU255+AZ255))-(IF(AND('Your debts'!$F$6&lt;&gt;"",'Your debts'!$F$7&lt;&gt;"",'Your debts'!$F$6&lt;'Your debts'!$F$7),H255,0)+IF(AND('Your debts'!$F$8&lt;&gt;"",'Your debts'!$F$7&lt;&gt;"",'Your debts'!$F$8&lt;'Your debts'!$F$7),R255,0)+IF(AND('Your debts'!$F$9&lt;&gt;"",'Your debts'!$F$7&lt;&gt;"",'Your debts'!$F$9&lt;'Your debts'!$F$7),W255,0)+IF(AND('Your debts'!$F$10&lt;&gt;"",'Your debts'!$F$7&lt;&gt;"",'Your debts'!$F$10&lt;'Your debts'!$F$7),AB255,0)+IF(AND('Your debts'!$F$11&lt;&gt;"",'Your debts'!$F$7&lt;&gt;"",'Your debts'!$F$11&lt;'Your debts'!$F$7),AG255,0)+IF(AND('Your debts'!$F$12&lt;&gt;"",'Your debts'!$F$7&lt;&gt;"",'Your debts'!$F$12&lt;'Your debts'!$F$7),AL255,0)+IF(AND('Your debts'!$F$13&lt;&gt;"",'Your debts'!$F$7&lt;&gt;"",'Your debts'!$F$13&lt;'Your debts'!$F$7),AQ255,0)+IF(AND('Your debts'!$F$14&lt;&gt;"",'Your debts'!$F$7&lt;&gt;"",'Your debts'!$F$14&lt;'Your debts'!$F$7),AV255,0)+IF(AND('Your debts'!$F$15&lt;&gt;"",'Your debts'!$F$7&lt;&gt;"",'Your debts'!$F$15&lt;'Your debts'!$F$7),BA255,0)))))</f>
        <v/>
      </c>
      <c r="O255" s="33">
        <f>M255-N255</f>
        <v/>
      </c>
      <c r="P255" s="33">
        <f>IF(T254&lt;=0,0,ROUND(T254*(1+'Your debts'!$D$8/1200),2))</f>
        <v/>
      </c>
      <c r="Q255" s="33">
        <f>IF(P255&lt;=0,0,MIN('Your debts'!$E$8,P255))</f>
        <v/>
      </c>
      <c r="R255" s="33">
        <f>P255-Q255</f>
        <v/>
      </c>
      <c r="S255" s="33">
        <f>IF('Your debts'!$F$8="",0,MIN(R255,MAX(0,MAX(0,'Your debts'!$C$19-(G255+L255+Q255+V255+AA255+AF255+AK255+AP255+AU255+AZ255))-(IF(AND('Your debts'!$F$6&lt;&gt;"",'Your debts'!$F$8&lt;&gt;"",'Your debts'!$F$6&lt;'Your debts'!$F$8),H255,0)+IF(AND('Your debts'!$F$7&lt;&gt;"",'Your debts'!$F$8&lt;&gt;"",'Your debts'!$F$7&lt;'Your debts'!$F$8),M255,0)+IF(AND('Your debts'!$F$9&lt;&gt;"",'Your debts'!$F$8&lt;&gt;"",'Your debts'!$F$9&lt;'Your debts'!$F$8),W255,0)+IF(AND('Your debts'!$F$10&lt;&gt;"",'Your debts'!$F$8&lt;&gt;"",'Your debts'!$F$10&lt;'Your debts'!$F$8),AB255,0)+IF(AND('Your debts'!$F$11&lt;&gt;"",'Your debts'!$F$8&lt;&gt;"",'Your debts'!$F$11&lt;'Your debts'!$F$8),AG255,0)+IF(AND('Your debts'!$F$12&lt;&gt;"",'Your debts'!$F$8&lt;&gt;"",'Your debts'!$F$12&lt;'Your debts'!$F$8),AL255,0)+IF(AND('Your debts'!$F$13&lt;&gt;"",'Your debts'!$F$8&lt;&gt;"",'Your debts'!$F$13&lt;'Your debts'!$F$8),AQ255,0)+IF(AND('Your debts'!$F$14&lt;&gt;"",'Your debts'!$F$8&lt;&gt;"",'Your debts'!$F$14&lt;'Your debts'!$F$8),AV255,0)+IF(AND('Your debts'!$F$15&lt;&gt;"",'Your debts'!$F$8&lt;&gt;"",'Your debts'!$F$15&lt;'Your debts'!$F$8),BA255,0)))))</f>
        <v/>
      </c>
      <c r="T255" s="33">
        <f>R255-S255</f>
        <v/>
      </c>
      <c r="U255" s="33">
        <f>IF(Y254&lt;=0,0,ROUND(Y254*(1+'Your debts'!$D$9/1200),2))</f>
        <v/>
      </c>
      <c r="V255" s="33">
        <f>IF(U255&lt;=0,0,MIN('Your debts'!$E$9,U255))</f>
        <v/>
      </c>
      <c r="W255" s="33">
        <f>U255-V255</f>
        <v/>
      </c>
      <c r="X255" s="33">
        <f>IF('Your debts'!$F$9="",0,MIN(W255,MAX(0,MAX(0,'Your debts'!$C$19-(G255+L255+Q255+V255+AA255+AF255+AK255+AP255+AU255+AZ255))-(IF(AND('Your debts'!$F$6&lt;&gt;"",'Your debts'!$F$9&lt;&gt;"",'Your debts'!$F$6&lt;'Your debts'!$F$9),H255,0)+IF(AND('Your debts'!$F$7&lt;&gt;"",'Your debts'!$F$9&lt;&gt;"",'Your debts'!$F$7&lt;'Your debts'!$F$9),M255,0)+IF(AND('Your debts'!$F$8&lt;&gt;"",'Your debts'!$F$9&lt;&gt;"",'Your debts'!$F$8&lt;'Your debts'!$F$9),R255,0)+IF(AND('Your debts'!$F$10&lt;&gt;"",'Your debts'!$F$9&lt;&gt;"",'Your debts'!$F$10&lt;'Your debts'!$F$9),AB255,0)+IF(AND('Your debts'!$F$11&lt;&gt;"",'Your debts'!$F$9&lt;&gt;"",'Your debts'!$F$11&lt;'Your debts'!$F$9),AG255,0)+IF(AND('Your debts'!$F$12&lt;&gt;"",'Your debts'!$F$9&lt;&gt;"",'Your debts'!$F$12&lt;'Your debts'!$F$9),AL255,0)+IF(AND('Your debts'!$F$13&lt;&gt;"",'Your debts'!$F$9&lt;&gt;"",'Your debts'!$F$13&lt;'Your debts'!$F$9),AQ255,0)+IF(AND('Your debts'!$F$14&lt;&gt;"",'Your debts'!$F$9&lt;&gt;"",'Your debts'!$F$14&lt;'Your debts'!$F$9),AV255,0)+IF(AND('Your debts'!$F$15&lt;&gt;"",'Your debts'!$F$9&lt;&gt;"",'Your debts'!$F$15&lt;'Your debts'!$F$9),BA255,0)))))</f>
        <v/>
      </c>
      <c r="Y255" s="33">
        <f>W255-X255</f>
        <v/>
      </c>
      <c r="Z255" s="33">
        <f>IF(AD254&lt;=0,0,ROUND(AD254*(1+'Your debts'!$D$10/1200),2))</f>
        <v/>
      </c>
      <c r="AA255" s="33">
        <f>IF(Z255&lt;=0,0,MIN('Your debts'!$E$10,Z255))</f>
        <v/>
      </c>
      <c r="AB255" s="33">
        <f>Z255-AA255</f>
        <v/>
      </c>
      <c r="AC255" s="33">
        <f>IF('Your debts'!$F$10="",0,MIN(AB255,MAX(0,MAX(0,'Your debts'!$C$19-(G255+L255+Q255+V255+AA255+AF255+AK255+AP255+AU255+AZ255))-(IF(AND('Your debts'!$F$6&lt;&gt;"",'Your debts'!$F$10&lt;&gt;"",'Your debts'!$F$6&lt;'Your debts'!$F$10),H255,0)+IF(AND('Your debts'!$F$7&lt;&gt;"",'Your debts'!$F$10&lt;&gt;"",'Your debts'!$F$7&lt;'Your debts'!$F$10),M255,0)+IF(AND('Your debts'!$F$8&lt;&gt;"",'Your debts'!$F$10&lt;&gt;"",'Your debts'!$F$8&lt;'Your debts'!$F$10),R255,0)+IF(AND('Your debts'!$F$9&lt;&gt;"",'Your debts'!$F$10&lt;&gt;"",'Your debts'!$F$9&lt;'Your debts'!$F$10),W255,0)+IF(AND('Your debts'!$F$11&lt;&gt;"",'Your debts'!$F$10&lt;&gt;"",'Your debts'!$F$11&lt;'Your debts'!$F$10),AG255,0)+IF(AND('Your debts'!$F$12&lt;&gt;"",'Your debts'!$F$10&lt;&gt;"",'Your debts'!$F$12&lt;'Your debts'!$F$10),AL255,0)+IF(AND('Your debts'!$F$13&lt;&gt;"",'Your debts'!$F$10&lt;&gt;"",'Your debts'!$F$13&lt;'Your debts'!$F$10),AQ255,0)+IF(AND('Your debts'!$F$14&lt;&gt;"",'Your debts'!$F$10&lt;&gt;"",'Your debts'!$F$14&lt;'Your debts'!$F$10),AV255,0)+IF(AND('Your debts'!$F$15&lt;&gt;"",'Your debts'!$F$10&lt;&gt;"",'Your debts'!$F$15&lt;'Your debts'!$F$10),BA255,0)))))</f>
        <v/>
      </c>
      <c r="AD255" s="33">
        <f>AB255-AC255</f>
        <v/>
      </c>
      <c r="AE255" s="33">
        <f>IF(AI254&lt;=0,0,ROUND(AI254*(1+'Your debts'!$D$11/1200),2))</f>
        <v/>
      </c>
      <c r="AF255" s="33">
        <f>IF(AE255&lt;=0,0,MIN('Your debts'!$E$11,AE255))</f>
        <v/>
      </c>
      <c r="AG255" s="33">
        <f>AE255-AF255</f>
        <v/>
      </c>
      <c r="AH255" s="33">
        <f>IF('Your debts'!$F$11="",0,MIN(AG255,MAX(0,MAX(0,'Your debts'!$C$19-(G255+L255+Q255+V255+AA255+AF255+AK255+AP255+AU255+AZ255))-(IF(AND('Your debts'!$F$6&lt;&gt;"",'Your debts'!$F$11&lt;&gt;"",'Your debts'!$F$6&lt;'Your debts'!$F$11),H255,0)+IF(AND('Your debts'!$F$7&lt;&gt;"",'Your debts'!$F$11&lt;&gt;"",'Your debts'!$F$7&lt;'Your debts'!$F$11),M255,0)+IF(AND('Your debts'!$F$8&lt;&gt;"",'Your debts'!$F$11&lt;&gt;"",'Your debts'!$F$8&lt;'Your debts'!$F$11),R255,0)+IF(AND('Your debts'!$F$9&lt;&gt;"",'Your debts'!$F$11&lt;&gt;"",'Your debts'!$F$9&lt;'Your debts'!$F$11),W255,0)+IF(AND('Your debts'!$F$10&lt;&gt;"",'Your debts'!$F$11&lt;&gt;"",'Your debts'!$F$10&lt;'Your debts'!$F$11),AB255,0)+IF(AND('Your debts'!$F$12&lt;&gt;"",'Your debts'!$F$11&lt;&gt;"",'Your debts'!$F$12&lt;'Your debts'!$F$11),AL255,0)+IF(AND('Your debts'!$F$13&lt;&gt;"",'Your debts'!$F$11&lt;&gt;"",'Your debts'!$F$13&lt;'Your debts'!$F$11),AQ255,0)+IF(AND('Your debts'!$F$14&lt;&gt;"",'Your debts'!$F$11&lt;&gt;"",'Your debts'!$F$14&lt;'Your debts'!$F$11),AV255,0)+IF(AND('Your debts'!$F$15&lt;&gt;"",'Your debts'!$F$11&lt;&gt;"",'Your debts'!$F$15&lt;'Your debts'!$F$11),BA255,0)))))</f>
        <v/>
      </c>
      <c r="AI255" s="33">
        <f>AG255-AH255</f>
        <v/>
      </c>
      <c r="AJ255" s="33">
        <f>IF(AN254&lt;=0,0,ROUND(AN254*(1+'Your debts'!$D$12/1200),2))</f>
        <v/>
      </c>
      <c r="AK255" s="33">
        <f>IF(AJ255&lt;=0,0,MIN('Your debts'!$E$12,AJ255))</f>
        <v/>
      </c>
      <c r="AL255" s="33">
        <f>AJ255-AK255</f>
        <v/>
      </c>
      <c r="AM255" s="33">
        <f>IF('Your debts'!$F$12="",0,MIN(AL255,MAX(0,MAX(0,'Your debts'!$C$19-(G255+L255+Q255+V255+AA255+AF255+AK255+AP255+AU255+AZ255))-(IF(AND('Your debts'!$F$6&lt;&gt;"",'Your debts'!$F$12&lt;&gt;"",'Your debts'!$F$6&lt;'Your debts'!$F$12),H255,0)+IF(AND('Your debts'!$F$7&lt;&gt;"",'Your debts'!$F$12&lt;&gt;"",'Your debts'!$F$7&lt;'Your debts'!$F$12),M255,0)+IF(AND('Your debts'!$F$8&lt;&gt;"",'Your debts'!$F$12&lt;&gt;"",'Your debts'!$F$8&lt;'Your debts'!$F$12),R255,0)+IF(AND('Your debts'!$F$9&lt;&gt;"",'Your debts'!$F$12&lt;&gt;"",'Your debts'!$F$9&lt;'Your debts'!$F$12),W255,0)+IF(AND('Your debts'!$F$10&lt;&gt;"",'Your debts'!$F$12&lt;&gt;"",'Your debts'!$F$10&lt;'Your debts'!$F$12),AB255,0)+IF(AND('Your debts'!$F$11&lt;&gt;"",'Your debts'!$F$12&lt;&gt;"",'Your debts'!$F$11&lt;'Your debts'!$F$12),AG255,0)+IF(AND('Your debts'!$F$13&lt;&gt;"",'Your debts'!$F$12&lt;&gt;"",'Your debts'!$F$13&lt;'Your debts'!$F$12),AQ255,0)+IF(AND('Your debts'!$F$14&lt;&gt;"",'Your debts'!$F$12&lt;&gt;"",'Your debts'!$F$14&lt;'Your debts'!$F$12),AV255,0)+IF(AND('Your debts'!$F$15&lt;&gt;"",'Your debts'!$F$12&lt;&gt;"",'Your debts'!$F$15&lt;'Your debts'!$F$12),BA255,0)))))</f>
        <v/>
      </c>
      <c r="AN255" s="33">
        <f>AL255-AM255</f>
        <v/>
      </c>
      <c r="AO255" s="33">
        <f>IF(AS254&lt;=0,0,ROUND(AS254*(1+'Your debts'!$D$13/1200),2))</f>
        <v/>
      </c>
      <c r="AP255" s="33">
        <f>IF(AO255&lt;=0,0,MIN('Your debts'!$E$13,AO255))</f>
        <v/>
      </c>
      <c r="AQ255" s="33">
        <f>AO255-AP255</f>
        <v/>
      </c>
      <c r="AR255" s="33">
        <f>IF('Your debts'!$F$13="",0,MIN(AQ255,MAX(0,MAX(0,'Your debts'!$C$19-(G255+L255+Q255+V255+AA255+AF255+AK255+AP255+AU255+AZ255))-(IF(AND('Your debts'!$F$6&lt;&gt;"",'Your debts'!$F$13&lt;&gt;"",'Your debts'!$F$6&lt;'Your debts'!$F$13),H255,0)+IF(AND('Your debts'!$F$7&lt;&gt;"",'Your debts'!$F$13&lt;&gt;"",'Your debts'!$F$7&lt;'Your debts'!$F$13),M255,0)+IF(AND('Your debts'!$F$8&lt;&gt;"",'Your debts'!$F$13&lt;&gt;"",'Your debts'!$F$8&lt;'Your debts'!$F$13),R255,0)+IF(AND('Your debts'!$F$9&lt;&gt;"",'Your debts'!$F$13&lt;&gt;"",'Your debts'!$F$9&lt;'Your debts'!$F$13),W255,0)+IF(AND('Your debts'!$F$10&lt;&gt;"",'Your debts'!$F$13&lt;&gt;"",'Your debts'!$F$10&lt;'Your debts'!$F$13),AB255,0)+IF(AND('Your debts'!$F$11&lt;&gt;"",'Your debts'!$F$13&lt;&gt;"",'Your debts'!$F$11&lt;'Your debts'!$F$13),AG255,0)+IF(AND('Your debts'!$F$12&lt;&gt;"",'Your debts'!$F$13&lt;&gt;"",'Your debts'!$F$12&lt;'Your debts'!$F$13),AL255,0)+IF(AND('Your debts'!$F$14&lt;&gt;"",'Your debts'!$F$13&lt;&gt;"",'Your debts'!$F$14&lt;'Your debts'!$F$13),AV255,0)+IF(AND('Your debts'!$F$15&lt;&gt;"",'Your debts'!$F$13&lt;&gt;"",'Your debts'!$F$15&lt;'Your debts'!$F$13),BA255,0)))))</f>
        <v/>
      </c>
      <c r="AS255" s="33">
        <f>AQ255-AR255</f>
        <v/>
      </c>
      <c r="AT255" s="33">
        <f>IF(AX254&lt;=0,0,ROUND(AX254*(1+'Your debts'!$D$14/1200),2))</f>
        <v/>
      </c>
      <c r="AU255" s="33">
        <f>IF(AT255&lt;=0,0,MIN('Your debts'!$E$14,AT255))</f>
        <v/>
      </c>
      <c r="AV255" s="33">
        <f>AT255-AU255</f>
        <v/>
      </c>
      <c r="AW255" s="33">
        <f>IF('Your debts'!$F$14="",0,MIN(AV255,MAX(0,MAX(0,'Your debts'!$C$19-(G255+L255+Q255+V255+AA255+AF255+AK255+AP255+AU255+AZ255))-(IF(AND('Your debts'!$F$6&lt;&gt;"",'Your debts'!$F$14&lt;&gt;"",'Your debts'!$F$6&lt;'Your debts'!$F$14),H255,0)+IF(AND('Your debts'!$F$7&lt;&gt;"",'Your debts'!$F$14&lt;&gt;"",'Your debts'!$F$7&lt;'Your debts'!$F$14),M255,0)+IF(AND('Your debts'!$F$8&lt;&gt;"",'Your debts'!$F$14&lt;&gt;"",'Your debts'!$F$8&lt;'Your debts'!$F$14),R255,0)+IF(AND('Your debts'!$F$9&lt;&gt;"",'Your debts'!$F$14&lt;&gt;"",'Your debts'!$F$9&lt;'Your debts'!$F$14),W255,0)+IF(AND('Your debts'!$F$10&lt;&gt;"",'Your debts'!$F$14&lt;&gt;"",'Your debts'!$F$10&lt;'Your debts'!$F$14),AB255,0)+IF(AND('Your debts'!$F$11&lt;&gt;"",'Your debts'!$F$14&lt;&gt;"",'Your debts'!$F$11&lt;'Your debts'!$F$14),AG255,0)+IF(AND('Your debts'!$F$12&lt;&gt;"",'Your debts'!$F$14&lt;&gt;"",'Your debts'!$F$12&lt;'Your debts'!$F$14),AL255,0)+IF(AND('Your debts'!$F$13&lt;&gt;"",'Your debts'!$F$14&lt;&gt;"",'Your debts'!$F$13&lt;'Your debts'!$F$14),AQ255,0)+IF(AND('Your debts'!$F$15&lt;&gt;"",'Your debts'!$F$14&lt;&gt;"",'Your debts'!$F$15&lt;'Your debts'!$F$14),BA255,0)))))</f>
        <v/>
      </c>
      <c r="AX255" s="33">
        <f>AV255-AW255</f>
        <v/>
      </c>
      <c r="AY255" s="33">
        <f>IF(BC254&lt;=0,0,ROUND(BC254*(1+'Your debts'!$D$15/1200),2))</f>
        <v/>
      </c>
      <c r="AZ255" s="33">
        <f>IF(AY255&lt;=0,0,MIN('Your debts'!$E$15,AY255))</f>
        <v/>
      </c>
      <c r="BA255" s="33">
        <f>AY255-AZ255</f>
        <v/>
      </c>
      <c r="BB255" s="33">
        <f>IF('Your debts'!$F$15="",0,MIN(BA255,MAX(0,MAX(0,'Your debts'!$C$19-(G255+L255+Q255+V255+AA255+AF255+AK255+AP255+AU255+AZ255))-(IF(AND('Your debts'!$F$6&lt;&gt;"",'Your debts'!$F$15&lt;&gt;"",'Your debts'!$F$6&lt;'Your debts'!$F$15),H255,0)+IF(AND('Your debts'!$F$7&lt;&gt;"",'Your debts'!$F$15&lt;&gt;"",'Your debts'!$F$7&lt;'Your debts'!$F$15),M255,0)+IF(AND('Your debts'!$F$8&lt;&gt;"",'Your debts'!$F$15&lt;&gt;"",'Your debts'!$F$8&lt;'Your debts'!$F$15),R255,0)+IF(AND('Your debts'!$F$9&lt;&gt;"",'Your debts'!$F$15&lt;&gt;"",'Your debts'!$F$9&lt;'Your debts'!$F$15),W255,0)+IF(AND('Your debts'!$F$10&lt;&gt;"",'Your debts'!$F$15&lt;&gt;"",'Your debts'!$F$10&lt;'Your debts'!$F$15),AB255,0)+IF(AND('Your debts'!$F$11&lt;&gt;"",'Your debts'!$F$15&lt;&gt;"",'Your debts'!$F$11&lt;'Your debts'!$F$15),AG255,0)+IF(AND('Your debts'!$F$12&lt;&gt;"",'Your debts'!$F$15&lt;&gt;"",'Your debts'!$F$12&lt;'Your debts'!$F$15),AL255,0)+IF(AND('Your debts'!$F$13&lt;&gt;"",'Your debts'!$F$15&lt;&gt;"",'Your debts'!$F$13&lt;'Your debts'!$F$15),AQ255,0)+IF(AND('Your debts'!$F$14&lt;&gt;"",'Your debts'!$F$15&lt;&gt;"",'Your debts'!$F$14&lt;'Your debts'!$F$15),AV255,0)))))</f>
        <v/>
      </c>
      <c r="BC255" s="33">
        <f>BA255-BB255</f>
        <v/>
      </c>
    </row>
    <row r="256">
      <c r="A256" s="30" t="n">
        <v>241</v>
      </c>
      <c r="B256" s="31">
        <f>EDATE($B$15,241)</f>
        <v/>
      </c>
      <c r="C256" s="32">
        <f>IF(J255&lt;=0,0,F256-J255)+IF(O255&lt;=0,0,K256-O255)+IF(T255&lt;=0,0,P256-T255)+IF(Y255&lt;=0,0,U256-Y255)+IF(AD255&lt;=0,0,Z256-AD255)+IF(AI255&lt;=0,0,AE256-AI255)+IF(AN255&lt;=0,0,AJ256-AN255)+IF(AS255&lt;=0,0,AO256-AS255)+IF(AX255&lt;=0,0,AT256-AX255)+IF(BC255&lt;=0,0,AY256-BC255)</f>
        <v/>
      </c>
      <c r="D256" s="32">
        <f>G256+I256+L256+N256+Q256+S256+V256+X256+AA256+AC256+AF256+AH256+AK256+AM256+AP256+AR256+AU256+AW256+AZ256+BB256</f>
        <v/>
      </c>
      <c r="E256" s="32">
        <f>J256+O256+T256+Y256+AD256+AI256+AN256+AS256+AX256+BC256</f>
        <v/>
      </c>
      <c r="F256" s="33">
        <f>IF(J255&lt;=0,0,ROUND(J255*(1+'Your debts'!$D$6/1200),2))</f>
        <v/>
      </c>
      <c r="G256" s="33">
        <f>IF(F256&lt;=0,0,MIN('Your debts'!$E$6,F256))</f>
        <v/>
      </c>
      <c r="H256" s="33">
        <f>F256-G256</f>
        <v/>
      </c>
      <c r="I256" s="33">
        <f>IF('Your debts'!$F$6="",0,MIN(H256,MAX(0,MAX(0,'Your debts'!$C$19-(G256+L256+Q256+V256+AA256+AF256+AK256+AP256+AU256+AZ256))-(IF(AND('Your debts'!$F$7&lt;&gt;"",'Your debts'!$F$6&lt;&gt;"",'Your debts'!$F$7&lt;'Your debts'!$F$6),M256,0)+IF(AND('Your debts'!$F$8&lt;&gt;"",'Your debts'!$F$6&lt;&gt;"",'Your debts'!$F$8&lt;'Your debts'!$F$6),R256,0)+IF(AND('Your debts'!$F$9&lt;&gt;"",'Your debts'!$F$6&lt;&gt;"",'Your debts'!$F$9&lt;'Your debts'!$F$6),W256,0)+IF(AND('Your debts'!$F$10&lt;&gt;"",'Your debts'!$F$6&lt;&gt;"",'Your debts'!$F$10&lt;'Your debts'!$F$6),AB256,0)+IF(AND('Your debts'!$F$11&lt;&gt;"",'Your debts'!$F$6&lt;&gt;"",'Your debts'!$F$11&lt;'Your debts'!$F$6),AG256,0)+IF(AND('Your debts'!$F$12&lt;&gt;"",'Your debts'!$F$6&lt;&gt;"",'Your debts'!$F$12&lt;'Your debts'!$F$6),AL256,0)+IF(AND('Your debts'!$F$13&lt;&gt;"",'Your debts'!$F$6&lt;&gt;"",'Your debts'!$F$13&lt;'Your debts'!$F$6),AQ256,0)+IF(AND('Your debts'!$F$14&lt;&gt;"",'Your debts'!$F$6&lt;&gt;"",'Your debts'!$F$14&lt;'Your debts'!$F$6),AV256,0)+IF(AND('Your debts'!$F$15&lt;&gt;"",'Your debts'!$F$6&lt;&gt;"",'Your debts'!$F$15&lt;'Your debts'!$F$6),BA256,0)))))</f>
        <v/>
      </c>
      <c r="J256" s="33">
        <f>H256-I256</f>
        <v/>
      </c>
      <c r="K256" s="33">
        <f>IF(O255&lt;=0,0,ROUND(O255*(1+'Your debts'!$D$7/1200),2))</f>
        <v/>
      </c>
      <c r="L256" s="33">
        <f>IF(K256&lt;=0,0,MIN('Your debts'!$E$7,K256))</f>
        <v/>
      </c>
      <c r="M256" s="33">
        <f>K256-L256</f>
        <v/>
      </c>
      <c r="N256" s="33">
        <f>IF('Your debts'!$F$7="",0,MIN(M256,MAX(0,MAX(0,'Your debts'!$C$19-(G256+L256+Q256+V256+AA256+AF256+AK256+AP256+AU256+AZ256))-(IF(AND('Your debts'!$F$6&lt;&gt;"",'Your debts'!$F$7&lt;&gt;"",'Your debts'!$F$6&lt;'Your debts'!$F$7),H256,0)+IF(AND('Your debts'!$F$8&lt;&gt;"",'Your debts'!$F$7&lt;&gt;"",'Your debts'!$F$8&lt;'Your debts'!$F$7),R256,0)+IF(AND('Your debts'!$F$9&lt;&gt;"",'Your debts'!$F$7&lt;&gt;"",'Your debts'!$F$9&lt;'Your debts'!$F$7),W256,0)+IF(AND('Your debts'!$F$10&lt;&gt;"",'Your debts'!$F$7&lt;&gt;"",'Your debts'!$F$10&lt;'Your debts'!$F$7),AB256,0)+IF(AND('Your debts'!$F$11&lt;&gt;"",'Your debts'!$F$7&lt;&gt;"",'Your debts'!$F$11&lt;'Your debts'!$F$7),AG256,0)+IF(AND('Your debts'!$F$12&lt;&gt;"",'Your debts'!$F$7&lt;&gt;"",'Your debts'!$F$12&lt;'Your debts'!$F$7),AL256,0)+IF(AND('Your debts'!$F$13&lt;&gt;"",'Your debts'!$F$7&lt;&gt;"",'Your debts'!$F$13&lt;'Your debts'!$F$7),AQ256,0)+IF(AND('Your debts'!$F$14&lt;&gt;"",'Your debts'!$F$7&lt;&gt;"",'Your debts'!$F$14&lt;'Your debts'!$F$7),AV256,0)+IF(AND('Your debts'!$F$15&lt;&gt;"",'Your debts'!$F$7&lt;&gt;"",'Your debts'!$F$15&lt;'Your debts'!$F$7),BA256,0)))))</f>
        <v/>
      </c>
      <c r="O256" s="33">
        <f>M256-N256</f>
        <v/>
      </c>
      <c r="P256" s="33">
        <f>IF(T255&lt;=0,0,ROUND(T255*(1+'Your debts'!$D$8/1200),2))</f>
        <v/>
      </c>
      <c r="Q256" s="33">
        <f>IF(P256&lt;=0,0,MIN('Your debts'!$E$8,P256))</f>
        <v/>
      </c>
      <c r="R256" s="33">
        <f>P256-Q256</f>
        <v/>
      </c>
      <c r="S256" s="33">
        <f>IF('Your debts'!$F$8="",0,MIN(R256,MAX(0,MAX(0,'Your debts'!$C$19-(G256+L256+Q256+V256+AA256+AF256+AK256+AP256+AU256+AZ256))-(IF(AND('Your debts'!$F$6&lt;&gt;"",'Your debts'!$F$8&lt;&gt;"",'Your debts'!$F$6&lt;'Your debts'!$F$8),H256,0)+IF(AND('Your debts'!$F$7&lt;&gt;"",'Your debts'!$F$8&lt;&gt;"",'Your debts'!$F$7&lt;'Your debts'!$F$8),M256,0)+IF(AND('Your debts'!$F$9&lt;&gt;"",'Your debts'!$F$8&lt;&gt;"",'Your debts'!$F$9&lt;'Your debts'!$F$8),W256,0)+IF(AND('Your debts'!$F$10&lt;&gt;"",'Your debts'!$F$8&lt;&gt;"",'Your debts'!$F$10&lt;'Your debts'!$F$8),AB256,0)+IF(AND('Your debts'!$F$11&lt;&gt;"",'Your debts'!$F$8&lt;&gt;"",'Your debts'!$F$11&lt;'Your debts'!$F$8),AG256,0)+IF(AND('Your debts'!$F$12&lt;&gt;"",'Your debts'!$F$8&lt;&gt;"",'Your debts'!$F$12&lt;'Your debts'!$F$8),AL256,0)+IF(AND('Your debts'!$F$13&lt;&gt;"",'Your debts'!$F$8&lt;&gt;"",'Your debts'!$F$13&lt;'Your debts'!$F$8),AQ256,0)+IF(AND('Your debts'!$F$14&lt;&gt;"",'Your debts'!$F$8&lt;&gt;"",'Your debts'!$F$14&lt;'Your debts'!$F$8),AV256,0)+IF(AND('Your debts'!$F$15&lt;&gt;"",'Your debts'!$F$8&lt;&gt;"",'Your debts'!$F$15&lt;'Your debts'!$F$8),BA256,0)))))</f>
        <v/>
      </c>
      <c r="T256" s="33">
        <f>R256-S256</f>
        <v/>
      </c>
      <c r="U256" s="33">
        <f>IF(Y255&lt;=0,0,ROUND(Y255*(1+'Your debts'!$D$9/1200),2))</f>
        <v/>
      </c>
      <c r="V256" s="33">
        <f>IF(U256&lt;=0,0,MIN('Your debts'!$E$9,U256))</f>
        <v/>
      </c>
      <c r="W256" s="33">
        <f>U256-V256</f>
        <v/>
      </c>
      <c r="X256" s="33">
        <f>IF('Your debts'!$F$9="",0,MIN(W256,MAX(0,MAX(0,'Your debts'!$C$19-(G256+L256+Q256+V256+AA256+AF256+AK256+AP256+AU256+AZ256))-(IF(AND('Your debts'!$F$6&lt;&gt;"",'Your debts'!$F$9&lt;&gt;"",'Your debts'!$F$6&lt;'Your debts'!$F$9),H256,0)+IF(AND('Your debts'!$F$7&lt;&gt;"",'Your debts'!$F$9&lt;&gt;"",'Your debts'!$F$7&lt;'Your debts'!$F$9),M256,0)+IF(AND('Your debts'!$F$8&lt;&gt;"",'Your debts'!$F$9&lt;&gt;"",'Your debts'!$F$8&lt;'Your debts'!$F$9),R256,0)+IF(AND('Your debts'!$F$10&lt;&gt;"",'Your debts'!$F$9&lt;&gt;"",'Your debts'!$F$10&lt;'Your debts'!$F$9),AB256,0)+IF(AND('Your debts'!$F$11&lt;&gt;"",'Your debts'!$F$9&lt;&gt;"",'Your debts'!$F$11&lt;'Your debts'!$F$9),AG256,0)+IF(AND('Your debts'!$F$12&lt;&gt;"",'Your debts'!$F$9&lt;&gt;"",'Your debts'!$F$12&lt;'Your debts'!$F$9),AL256,0)+IF(AND('Your debts'!$F$13&lt;&gt;"",'Your debts'!$F$9&lt;&gt;"",'Your debts'!$F$13&lt;'Your debts'!$F$9),AQ256,0)+IF(AND('Your debts'!$F$14&lt;&gt;"",'Your debts'!$F$9&lt;&gt;"",'Your debts'!$F$14&lt;'Your debts'!$F$9),AV256,0)+IF(AND('Your debts'!$F$15&lt;&gt;"",'Your debts'!$F$9&lt;&gt;"",'Your debts'!$F$15&lt;'Your debts'!$F$9),BA256,0)))))</f>
        <v/>
      </c>
      <c r="Y256" s="33">
        <f>W256-X256</f>
        <v/>
      </c>
      <c r="Z256" s="33">
        <f>IF(AD255&lt;=0,0,ROUND(AD255*(1+'Your debts'!$D$10/1200),2))</f>
        <v/>
      </c>
      <c r="AA256" s="33">
        <f>IF(Z256&lt;=0,0,MIN('Your debts'!$E$10,Z256))</f>
        <v/>
      </c>
      <c r="AB256" s="33">
        <f>Z256-AA256</f>
        <v/>
      </c>
      <c r="AC256" s="33">
        <f>IF('Your debts'!$F$10="",0,MIN(AB256,MAX(0,MAX(0,'Your debts'!$C$19-(G256+L256+Q256+V256+AA256+AF256+AK256+AP256+AU256+AZ256))-(IF(AND('Your debts'!$F$6&lt;&gt;"",'Your debts'!$F$10&lt;&gt;"",'Your debts'!$F$6&lt;'Your debts'!$F$10),H256,0)+IF(AND('Your debts'!$F$7&lt;&gt;"",'Your debts'!$F$10&lt;&gt;"",'Your debts'!$F$7&lt;'Your debts'!$F$10),M256,0)+IF(AND('Your debts'!$F$8&lt;&gt;"",'Your debts'!$F$10&lt;&gt;"",'Your debts'!$F$8&lt;'Your debts'!$F$10),R256,0)+IF(AND('Your debts'!$F$9&lt;&gt;"",'Your debts'!$F$10&lt;&gt;"",'Your debts'!$F$9&lt;'Your debts'!$F$10),W256,0)+IF(AND('Your debts'!$F$11&lt;&gt;"",'Your debts'!$F$10&lt;&gt;"",'Your debts'!$F$11&lt;'Your debts'!$F$10),AG256,0)+IF(AND('Your debts'!$F$12&lt;&gt;"",'Your debts'!$F$10&lt;&gt;"",'Your debts'!$F$12&lt;'Your debts'!$F$10),AL256,0)+IF(AND('Your debts'!$F$13&lt;&gt;"",'Your debts'!$F$10&lt;&gt;"",'Your debts'!$F$13&lt;'Your debts'!$F$10),AQ256,0)+IF(AND('Your debts'!$F$14&lt;&gt;"",'Your debts'!$F$10&lt;&gt;"",'Your debts'!$F$14&lt;'Your debts'!$F$10),AV256,0)+IF(AND('Your debts'!$F$15&lt;&gt;"",'Your debts'!$F$10&lt;&gt;"",'Your debts'!$F$15&lt;'Your debts'!$F$10),BA256,0)))))</f>
        <v/>
      </c>
      <c r="AD256" s="33">
        <f>AB256-AC256</f>
        <v/>
      </c>
      <c r="AE256" s="33">
        <f>IF(AI255&lt;=0,0,ROUND(AI255*(1+'Your debts'!$D$11/1200),2))</f>
        <v/>
      </c>
      <c r="AF256" s="33">
        <f>IF(AE256&lt;=0,0,MIN('Your debts'!$E$11,AE256))</f>
        <v/>
      </c>
      <c r="AG256" s="33">
        <f>AE256-AF256</f>
        <v/>
      </c>
      <c r="AH256" s="33">
        <f>IF('Your debts'!$F$11="",0,MIN(AG256,MAX(0,MAX(0,'Your debts'!$C$19-(G256+L256+Q256+V256+AA256+AF256+AK256+AP256+AU256+AZ256))-(IF(AND('Your debts'!$F$6&lt;&gt;"",'Your debts'!$F$11&lt;&gt;"",'Your debts'!$F$6&lt;'Your debts'!$F$11),H256,0)+IF(AND('Your debts'!$F$7&lt;&gt;"",'Your debts'!$F$11&lt;&gt;"",'Your debts'!$F$7&lt;'Your debts'!$F$11),M256,0)+IF(AND('Your debts'!$F$8&lt;&gt;"",'Your debts'!$F$11&lt;&gt;"",'Your debts'!$F$8&lt;'Your debts'!$F$11),R256,0)+IF(AND('Your debts'!$F$9&lt;&gt;"",'Your debts'!$F$11&lt;&gt;"",'Your debts'!$F$9&lt;'Your debts'!$F$11),W256,0)+IF(AND('Your debts'!$F$10&lt;&gt;"",'Your debts'!$F$11&lt;&gt;"",'Your debts'!$F$10&lt;'Your debts'!$F$11),AB256,0)+IF(AND('Your debts'!$F$12&lt;&gt;"",'Your debts'!$F$11&lt;&gt;"",'Your debts'!$F$12&lt;'Your debts'!$F$11),AL256,0)+IF(AND('Your debts'!$F$13&lt;&gt;"",'Your debts'!$F$11&lt;&gt;"",'Your debts'!$F$13&lt;'Your debts'!$F$11),AQ256,0)+IF(AND('Your debts'!$F$14&lt;&gt;"",'Your debts'!$F$11&lt;&gt;"",'Your debts'!$F$14&lt;'Your debts'!$F$11),AV256,0)+IF(AND('Your debts'!$F$15&lt;&gt;"",'Your debts'!$F$11&lt;&gt;"",'Your debts'!$F$15&lt;'Your debts'!$F$11),BA256,0)))))</f>
        <v/>
      </c>
      <c r="AI256" s="33">
        <f>AG256-AH256</f>
        <v/>
      </c>
      <c r="AJ256" s="33">
        <f>IF(AN255&lt;=0,0,ROUND(AN255*(1+'Your debts'!$D$12/1200),2))</f>
        <v/>
      </c>
      <c r="AK256" s="33">
        <f>IF(AJ256&lt;=0,0,MIN('Your debts'!$E$12,AJ256))</f>
        <v/>
      </c>
      <c r="AL256" s="33">
        <f>AJ256-AK256</f>
        <v/>
      </c>
      <c r="AM256" s="33">
        <f>IF('Your debts'!$F$12="",0,MIN(AL256,MAX(0,MAX(0,'Your debts'!$C$19-(G256+L256+Q256+V256+AA256+AF256+AK256+AP256+AU256+AZ256))-(IF(AND('Your debts'!$F$6&lt;&gt;"",'Your debts'!$F$12&lt;&gt;"",'Your debts'!$F$6&lt;'Your debts'!$F$12),H256,0)+IF(AND('Your debts'!$F$7&lt;&gt;"",'Your debts'!$F$12&lt;&gt;"",'Your debts'!$F$7&lt;'Your debts'!$F$12),M256,0)+IF(AND('Your debts'!$F$8&lt;&gt;"",'Your debts'!$F$12&lt;&gt;"",'Your debts'!$F$8&lt;'Your debts'!$F$12),R256,0)+IF(AND('Your debts'!$F$9&lt;&gt;"",'Your debts'!$F$12&lt;&gt;"",'Your debts'!$F$9&lt;'Your debts'!$F$12),W256,0)+IF(AND('Your debts'!$F$10&lt;&gt;"",'Your debts'!$F$12&lt;&gt;"",'Your debts'!$F$10&lt;'Your debts'!$F$12),AB256,0)+IF(AND('Your debts'!$F$11&lt;&gt;"",'Your debts'!$F$12&lt;&gt;"",'Your debts'!$F$11&lt;'Your debts'!$F$12),AG256,0)+IF(AND('Your debts'!$F$13&lt;&gt;"",'Your debts'!$F$12&lt;&gt;"",'Your debts'!$F$13&lt;'Your debts'!$F$12),AQ256,0)+IF(AND('Your debts'!$F$14&lt;&gt;"",'Your debts'!$F$12&lt;&gt;"",'Your debts'!$F$14&lt;'Your debts'!$F$12),AV256,0)+IF(AND('Your debts'!$F$15&lt;&gt;"",'Your debts'!$F$12&lt;&gt;"",'Your debts'!$F$15&lt;'Your debts'!$F$12),BA256,0)))))</f>
        <v/>
      </c>
      <c r="AN256" s="33">
        <f>AL256-AM256</f>
        <v/>
      </c>
      <c r="AO256" s="33">
        <f>IF(AS255&lt;=0,0,ROUND(AS255*(1+'Your debts'!$D$13/1200),2))</f>
        <v/>
      </c>
      <c r="AP256" s="33">
        <f>IF(AO256&lt;=0,0,MIN('Your debts'!$E$13,AO256))</f>
        <v/>
      </c>
      <c r="AQ256" s="33">
        <f>AO256-AP256</f>
        <v/>
      </c>
      <c r="AR256" s="33">
        <f>IF('Your debts'!$F$13="",0,MIN(AQ256,MAX(0,MAX(0,'Your debts'!$C$19-(G256+L256+Q256+V256+AA256+AF256+AK256+AP256+AU256+AZ256))-(IF(AND('Your debts'!$F$6&lt;&gt;"",'Your debts'!$F$13&lt;&gt;"",'Your debts'!$F$6&lt;'Your debts'!$F$13),H256,0)+IF(AND('Your debts'!$F$7&lt;&gt;"",'Your debts'!$F$13&lt;&gt;"",'Your debts'!$F$7&lt;'Your debts'!$F$13),M256,0)+IF(AND('Your debts'!$F$8&lt;&gt;"",'Your debts'!$F$13&lt;&gt;"",'Your debts'!$F$8&lt;'Your debts'!$F$13),R256,0)+IF(AND('Your debts'!$F$9&lt;&gt;"",'Your debts'!$F$13&lt;&gt;"",'Your debts'!$F$9&lt;'Your debts'!$F$13),W256,0)+IF(AND('Your debts'!$F$10&lt;&gt;"",'Your debts'!$F$13&lt;&gt;"",'Your debts'!$F$10&lt;'Your debts'!$F$13),AB256,0)+IF(AND('Your debts'!$F$11&lt;&gt;"",'Your debts'!$F$13&lt;&gt;"",'Your debts'!$F$11&lt;'Your debts'!$F$13),AG256,0)+IF(AND('Your debts'!$F$12&lt;&gt;"",'Your debts'!$F$13&lt;&gt;"",'Your debts'!$F$12&lt;'Your debts'!$F$13),AL256,0)+IF(AND('Your debts'!$F$14&lt;&gt;"",'Your debts'!$F$13&lt;&gt;"",'Your debts'!$F$14&lt;'Your debts'!$F$13),AV256,0)+IF(AND('Your debts'!$F$15&lt;&gt;"",'Your debts'!$F$13&lt;&gt;"",'Your debts'!$F$15&lt;'Your debts'!$F$13),BA256,0)))))</f>
        <v/>
      </c>
      <c r="AS256" s="33">
        <f>AQ256-AR256</f>
        <v/>
      </c>
      <c r="AT256" s="33">
        <f>IF(AX255&lt;=0,0,ROUND(AX255*(1+'Your debts'!$D$14/1200),2))</f>
        <v/>
      </c>
      <c r="AU256" s="33">
        <f>IF(AT256&lt;=0,0,MIN('Your debts'!$E$14,AT256))</f>
        <v/>
      </c>
      <c r="AV256" s="33">
        <f>AT256-AU256</f>
        <v/>
      </c>
      <c r="AW256" s="33">
        <f>IF('Your debts'!$F$14="",0,MIN(AV256,MAX(0,MAX(0,'Your debts'!$C$19-(G256+L256+Q256+V256+AA256+AF256+AK256+AP256+AU256+AZ256))-(IF(AND('Your debts'!$F$6&lt;&gt;"",'Your debts'!$F$14&lt;&gt;"",'Your debts'!$F$6&lt;'Your debts'!$F$14),H256,0)+IF(AND('Your debts'!$F$7&lt;&gt;"",'Your debts'!$F$14&lt;&gt;"",'Your debts'!$F$7&lt;'Your debts'!$F$14),M256,0)+IF(AND('Your debts'!$F$8&lt;&gt;"",'Your debts'!$F$14&lt;&gt;"",'Your debts'!$F$8&lt;'Your debts'!$F$14),R256,0)+IF(AND('Your debts'!$F$9&lt;&gt;"",'Your debts'!$F$14&lt;&gt;"",'Your debts'!$F$9&lt;'Your debts'!$F$14),W256,0)+IF(AND('Your debts'!$F$10&lt;&gt;"",'Your debts'!$F$14&lt;&gt;"",'Your debts'!$F$10&lt;'Your debts'!$F$14),AB256,0)+IF(AND('Your debts'!$F$11&lt;&gt;"",'Your debts'!$F$14&lt;&gt;"",'Your debts'!$F$11&lt;'Your debts'!$F$14),AG256,0)+IF(AND('Your debts'!$F$12&lt;&gt;"",'Your debts'!$F$14&lt;&gt;"",'Your debts'!$F$12&lt;'Your debts'!$F$14),AL256,0)+IF(AND('Your debts'!$F$13&lt;&gt;"",'Your debts'!$F$14&lt;&gt;"",'Your debts'!$F$13&lt;'Your debts'!$F$14),AQ256,0)+IF(AND('Your debts'!$F$15&lt;&gt;"",'Your debts'!$F$14&lt;&gt;"",'Your debts'!$F$15&lt;'Your debts'!$F$14),BA256,0)))))</f>
        <v/>
      </c>
      <c r="AX256" s="33">
        <f>AV256-AW256</f>
        <v/>
      </c>
      <c r="AY256" s="33">
        <f>IF(BC255&lt;=0,0,ROUND(BC255*(1+'Your debts'!$D$15/1200),2))</f>
        <v/>
      </c>
      <c r="AZ256" s="33">
        <f>IF(AY256&lt;=0,0,MIN('Your debts'!$E$15,AY256))</f>
        <v/>
      </c>
      <c r="BA256" s="33">
        <f>AY256-AZ256</f>
        <v/>
      </c>
      <c r="BB256" s="33">
        <f>IF('Your debts'!$F$15="",0,MIN(BA256,MAX(0,MAX(0,'Your debts'!$C$19-(G256+L256+Q256+V256+AA256+AF256+AK256+AP256+AU256+AZ256))-(IF(AND('Your debts'!$F$6&lt;&gt;"",'Your debts'!$F$15&lt;&gt;"",'Your debts'!$F$6&lt;'Your debts'!$F$15),H256,0)+IF(AND('Your debts'!$F$7&lt;&gt;"",'Your debts'!$F$15&lt;&gt;"",'Your debts'!$F$7&lt;'Your debts'!$F$15),M256,0)+IF(AND('Your debts'!$F$8&lt;&gt;"",'Your debts'!$F$15&lt;&gt;"",'Your debts'!$F$8&lt;'Your debts'!$F$15),R256,0)+IF(AND('Your debts'!$F$9&lt;&gt;"",'Your debts'!$F$15&lt;&gt;"",'Your debts'!$F$9&lt;'Your debts'!$F$15),W256,0)+IF(AND('Your debts'!$F$10&lt;&gt;"",'Your debts'!$F$15&lt;&gt;"",'Your debts'!$F$10&lt;'Your debts'!$F$15),AB256,0)+IF(AND('Your debts'!$F$11&lt;&gt;"",'Your debts'!$F$15&lt;&gt;"",'Your debts'!$F$11&lt;'Your debts'!$F$15),AG256,0)+IF(AND('Your debts'!$F$12&lt;&gt;"",'Your debts'!$F$15&lt;&gt;"",'Your debts'!$F$12&lt;'Your debts'!$F$15),AL256,0)+IF(AND('Your debts'!$F$13&lt;&gt;"",'Your debts'!$F$15&lt;&gt;"",'Your debts'!$F$13&lt;'Your debts'!$F$15),AQ256,0)+IF(AND('Your debts'!$F$14&lt;&gt;"",'Your debts'!$F$15&lt;&gt;"",'Your debts'!$F$14&lt;'Your debts'!$F$15),AV256,0)))))</f>
        <v/>
      </c>
      <c r="BC256" s="33">
        <f>BA256-BB256</f>
        <v/>
      </c>
    </row>
    <row r="257">
      <c r="A257" s="30" t="n">
        <v>242</v>
      </c>
      <c r="B257" s="31">
        <f>EDATE($B$15,242)</f>
        <v/>
      </c>
      <c r="C257" s="32">
        <f>IF(J256&lt;=0,0,F257-J256)+IF(O256&lt;=0,0,K257-O256)+IF(T256&lt;=0,0,P257-T256)+IF(Y256&lt;=0,0,U257-Y256)+IF(AD256&lt;=0,0,Z257-AD256)+IF(AI256&lt;=0,0,AE257-AI256)+IF(AN256&lt;=0,0,AJ257-AN256)+IF(AS256&lt;=0,0,AO257-AS256)+IF(AX256&lt;=0,0,AT257-AX256)+IF(BC256&lt;=0,0,AY257-BC256)</f>
        <v/>
      </c>
      <c r="D257" s="32">
        <f>G257+I257+L257+N257+Q257+S257+V257+X257+AA257+AC257+AF257+AH257+AK257+AM257+AP257+AR257+AU257+AW257+AZ257+BB257</f>
        <v/>
      </c>
      <c r="E257" s="32">
        <f>J257+O257+T257+Y257+AD257+AI257+AN257+AS257+AX257+BC257</f>
        <v/>
      </c>
      <c r="F257" s="33">
        <f>IF(J256&lt;=0,0,ROUND(J256*(1+'Your debts'!$D$6/1200),2))</f>
        <v/>
      </c>
      <c r="G257" s="33">
        <f>IF(F257&lt;=0,0,MIN('Your debts'!$E$6,F257))</f>
        <v/>
      </c>
      <c r="H257" s="33">
        <f>F257-G257</f>
        <v/>
      </c>
      <c r="I257" s="33">
        <f>IF('Your debts'!$F$6="",0,MIN(H257,MAX(0,MAX(0,'Your debts'!$C$19-(G257+L257+Q257+V257+AA257+AF257+AK257+AP257+AU257+AZ257))-(IF(AND('Your debts'!$F$7&lt;&gt;"",'Your debts'!$F$6&lt;&gt;"",'Your debts'!$F$7&lt;'Your debts'!$F$6),M257,0)+IF(AND('Your debts'!$F$8&lt;&gt;"",'Your debts'!$F$6&lt;&gt;"",'Your debts'!$F$8&lt;'Your debts'!$F$6),R257,0)+IF(AND('Your debts'!$F$9&lt;&gt;"",'Your debts'!$F$6&lt;&gt;"",'Your debts'!$F$9&lt;'Your debts'!$F$6),W257,0)+IF(AND('Your debts'!$F$10&lt;&gt;"",'Your debts'!$F$6&lt;&gt;"",'Your debts'!$F$10&lt;'Your debts'!$F$6),AB257,0)+IF(AND('Your debts'!$F$11&lt;&gt;"",'Your debts'!$F$6&lt;&gt;"",'Your debts'!$F$11&lt;'Your debts'!$F$6),AG257,0)+IF(AND('Your debts'!$F$12&lt;&gt;"",'Your debts'!$F$6&lt;&gt;"",'Your debts'!$F$12&lt;'Your debts'!$F$6),AL257,0)+IF(AND('Your debts'!$F$13&lt;&gt;"",'Your debts'!$F$6&lt;&gt;"",'Your debts'!$F$13&lt;'Your debts'!$F$6),AQ257,0)+IF(AND('Your debts'!$F$14&lt;&gt;"",'Your debts'!$F$6&lt;&gt;"",'Your debts'!$F$14&lt;'Your debts'!$F$6),AV257,0)+IF(AND('Your debts'!$F$15&lt;&gt;"",'Your debts'!$F$6&lt;&gt;"",'Your debts'!$F$15&lt;'Your debts'!$F$6),BA257,0)))))</f>
        <v/>
      </c>
      <c r="J257" s="33">
        <f>H257-I257</f>
        <v/>
      </c>
      <c r="K257" s="33">
        <f>IF(O256&lt;=0,0,ROUND(O256*(1+'Your debts'!$D$7/1200),2))</f>
        <v/>
      </c>
      <c r="L257" s="33">
        <f>IF(K257&lt;=0,0,MIN('Your debts'!$E$7,K257))</f>
        <v/>
      </c>
      <c r="M257" s="33">
        <f>K257-L257</f>
        <v/>
      </c>
      <c r="N257" s="33">
        <f>IF('Your debts'!$F$7="",0,MIN(M257,MAX(0,MAX(0,'Your debts'!$C$19-(G257+L257+Q257+V257+AA257+AF257+AK257+AP257+AU257+AZ257))-(IF(AND('Your debts'!$F$6&lt;&gt;"",'Your debts'!$F$7&lt;&gt;"",'Your debts'!$F$6&lt;'Your debts'!$F$7),H257,0)+IF(AND('Your debts'!$F$8&lt;&gt;"",'Your debts'!$F$7&lt;&gt;"",'Your debts'!$F$8&lt;'Your debts'!$F$7),R257,0)+IF(AND('Your debts'!$F$9&lt;&gt;"",'Your debts'!$F$7&lt;&gt;"",'Your debts'!$F$9&lt;'Your debts'!$F$7),W257,0)+IF(AND('Your debts'!$F$10&lt;&gt;"",'Your debts'!$F$7&lt;&gt;"",'Your debts'!$F$10&lt;'Your debts'!$F$7),AB257,0)+IF(AND('Your debts'!$F$11&lt;&gt;"",'Your debts'!$F$7&lt;&gt;"",'Your debts'!$F$11&lt;'Your debts'!$F$7),AG257,0)+IF(AND('Your debts'!$F$12&lt;&gt;"",'Your debts'!$F$7&lt;&gt;"",'Your debts'!$F$12&lt;'Your debts'!$F$7),AL257,0)+IF(AND('Your debts'!$F$13&lt;&gt;"",'Your debts'!$F$7&lt;&gt;"",'Your debts'!$F$13&lt;'Your debts'!$F$7),AQ257,0)+IF(AND('Your debts'!$F$14&lt;&gt;"",'Your debts'!$F$7&lt;&gt;"",'Your debts'!$F$14&lt;'Your debts'!$F$7),AV257,0)+IF(AND('Your debts'!$F$15&lt;&gt;"",'Your debts'!$F$7&lt;&gt;"",'Your debts'!$F$15&lt;'Your debts'!$F$7),BA257,0)))))</f>
        <v/>
      </c>
      <c r="O257" s="33">
        <f>M257-N257</f>
        <v/>
      </c>
      <c r="P257" s="33">
        <f>IF(T256&lt;=0,0,ROUND(T256*(1+'Your debts'!$D$8/1200),2))</f>
        <v/>
      </c>
      <c r="Q257" s="33">
        <f>IF(P257&lt;=0,0,MIN('Your debts'!$E$8,P257))</f>
        <v/>
      </c>
      <c r="R257" s="33">
        <f>P257-Q257</f>
        <v/>
      </c>
      <c r="S257" s="33">
        <f>IF('Your debts'!$F$8="",0,MIN(R257,MAX(0,MAX(0,'Your debts'!$C$19-(G257+L257+Q257+V257+AA257+AF257+AK257+AP257+AU257+AZ257))-(IF(AND('Your debts'!$F$6&lt;&gt;"",'Your debts'!$F$8&lt;&gt;"",'Your debts'!$F$6&lt;'Your debts'!$F$8),H257,0)+IF(AND('Your debts'!$F$7&lt;&gt;"",'Your debts'!$F$8&lt;&gt;"",'Your debts'!$F$7&lt;'Your debts'!$F$8),M257,0)+IF(AND('Your debts'!$F$9&lt;&gt;"",'Your debts'!$F$8&lt;&gt;"",'Your debts'!$F$9&lt;'Your debts'!$F$8),W257,0)+IF(AND('Your debts'!$F$10&lt;&gt;"",'Your debts'!$F$8&lt;&gt;"",'Your debts'!$F$10&lt;'Your debts'!$F$8),AB257,0)+IF(AND('Your debts'!$F$11&lt;&gt;"",'Your debts'!$F$8&lt;&gt;"",'Your debts'!$F$11&lt;'Your debts'!$F$8),AG257,0)+IF(AND('Your debts'!$F$12&lt;&gt;"",'Your debts'!$F$8&lt;&gt;"",'Your debts'!$F$12&lt;'Your debts'!$F$8),AL257,0)+IF(AND('Your debts'!$F$13&lt;&gt;"",'Your debts'!$F$8&lt;&gt;"",'Your debts'!$F$13&lt;'Your debts'!$F$8),AQ257,0)+IF(AND('Your debts'!$F$14&lt;&gt;"",'Your debts'!$F$8&lt;&gt;"",'Your debts'!$F$14&lt;'Your debts'!$F$8),AV257,0)+IF(AND('Your debts'!$F$15&lt;&gt;"",'Your debts'!$F$8&lt;&gt;"",'Your debts'!$F$15&lt;'Your debts'!$F$8),BA257,0)))))</f>
        <v/>
      </c>
      <c r="T257" s="33">
        <f>R257-S257</f>
        <v/>
      </c>
      <c r="U257" s="33">
        <f>IF(Y256&lt;=0,0,ROUND(Y256*(1+'Your debts'!$D$9/1200),2))</f>
        <v/>
      </c>
      <c r="V257" s="33">
        <f>IF(U257&lt;=0,0,MIN('Your debts'!$E$9,U257))</f>
        <v/>
      </c>
      <c r="W257" s="33">
        <f>U257-V257</f>
        <v/>
      </c>
      <c r="X257" s="33">
        <f>IF('Your debts'!$F$9="",0,MIN(W257,MAX(0,MAX(0,'Your debts'!$C$19-(G257+L257+Q257+V257+AA257+AF257+AK257+AP257+AU257+AZ257))-(IF(AND('Your debts'!$F$6&lt;&gt;"",'Your debts'!$F$9&lt;&gt;"",'Your debts'!$F$6&lt;'Your debts'!$F$9),H257,0)+IF(AND('Your debts'!$F$7&lt;&gt;"",'Your debts'!$F$9&lt;&gt;"",'Your debts'!$F$7&lt;'Your debts'!$F$9),M257,0)+IF(AND('Your debts'!$F$8&lt;&gt;"",'Your debts'!$F$9&lt;&gt;"",'Your debts'!$F$8&lt;'Your debts'!$F$9),R257,0)+IF(AND('Your debts'!$F$10&lt;&gt;"",'Your debts'!$F$9&lt;&gt;"",'Your debts'!$F$10&lt;'Your debts'!$F$9),AB257,0)+IF(AND('Your debts'!$F$11&lt;&gt;"",'Your debts'!$F$9&lt;&gt;"",'Your debts'!$F$11&lt;'Your debts'!$F$9),AG257,0)+IF(AND('Your debts'!$F$12&lt;&gt;"",'Your debts'!$F$9&lt;&gt;"",'Your debts'!$F$12&lt;'Your debts'!$F$9),AL257,0)+IF(AND('Your debts'!$F$13&lt;&gt;"",'Your debts'!$F$9&lt;&gt;"",'Your debts'!$F$13&lt;'Your debts'!$F$9),AQ257,0)+IF(AND('Your debts'!$F$14&lt;&gt;"",'Your debts'!$F$9&lt;&gt;"",'Your debts'!$F$14&lt;'Your debts'!$F$9),AV257,0)+IF(AND('Your debts'!$F$15&lt;&gt;"",'Your debts'!$F$9&lt;&gt;"",'Your debts'!$F$15&lt;'Your debts'!$F$9),BA257,0)))))</f>
        <v/>
      </c>
      <c r="Y257" s="33">
        <f>W257-X257</f>
        <v/>
      </c>
      <c r="Z257" s="33">
        <f>IF(AD256&lt;=0,0,ROUND(AD256*(1+'Your debts'!$D$10/1200),2))</f>
        <v/>
      </c>
      <c r="AA257" s="33">
        <f>IF(Z257&lt;=0,0,MIN('Your debts'!$E$10,Z257))</f>
        <v/>
      </c>
      <c r="AB257" s="33">
        <f>Z257-AA257</f>
        <v/>
      </c>
      <c r="AC257" s="33">
        <f>IF('Your debts'!$F$10="",0,MIN(AB257,MAX(0,MAX(0,'Your debts'!$C$19-(G257+L257+Q257+V257+AA257+AF257+AK257+AP257+AU257+AZ257))-(IF(AND('Your debts'!$F$6&lt;&gt;"",'Your debts'!$F$10&lt;&gt;"",'Your debts'!$F$6&lt;'Your debts'!$F$10),H257,0)+IF(AND('Your debts'!$F$7&lt;&gt;"",'Your debts'!$F$10&lt;&gt;"",'Your debts'!$F$7&lt;'Your debts'!$F$10),M257,0)+IF(AND('Your debts'!$F$8&lt;&gt;"",'Your debts'!$F$10&lt;&gt;"",'Your debts'!$F$8&lt;'Your debts'!$F$10),R257,0)+IF(AND('Your debts'!$F$9&lt;&gt;"",'Your debts'!$F$10&lt;&gt;"",'Your debts'!$F$9&lt;'Your debts'!$F$10),W257,0)+IF(AND('Your debts'!$F$11&lt;&gt;"",'Your debts'!$F$10&lt;&gt;"",'Your debts'!$F$11&lt;'Your debts'!$F$10),AG257,0)+IF(AND('Your debts'!$F$12&lt;&gt;"",'Your debts'!$F$10&lt;&gt;"",'Your debts'!$F$12&lt;'Your debts'!$F$10),AL257,0)+IF(AND('Your debts'!$F$13&lt;&gt;"",'Your debts'!$F$10&lt;&gt;"",'Your debts'!$F$13&lt;'Your debts'!$F$10),AQ257,0)+IF(AND('Your debts'!$F$14&lt;&gt;"",'Your debts'!$F$10&lt;&gt;"",'Your debts'!$F$14&lt;'Your debts'!$F$10),AV257,0)+IF(AND('Your debts'!$F$15&lt;&gt;"",'Your debts'!$F$10&lt;&gt;"",'Your debts'!$F$15&lt;'Your debts'!$F$10),BA257,0)))))</f>
        <v/>
      </c>
      <c r="AD257" s="33">
        <f>AB257-AC257</f>
        <v/>
      </c>
      <c r="AE257" s="33">
        <f>IF(AI256&lt;=0,0,ROUND(AI256*(1+'Your debts'!$D$11/1200),2))</f>
        <v/>
      </c>
      <c r="AF257" s="33">
        <f>IF(AE257&lt;=0,0,MIN('Your debts'!$E$11,AE257))</f>
        <v/>
      </c>
      <c r="AG257" s="33">
        <f>AE257-AF257</f>
        <v/>
      </c>
      <c r="AH257" s="33">
        <f>IF('Your debts'!$F$11="",0,MIN(AG257,MAX(0,MAX(0,'Your debts'!$C$19-(G257+L257+Q257+V257+AA257+AF257+AK257+AP257+AU257+AZ257))-(IF(AND('Your debts'!$F$6&lt;&gt;"",'Your debts'!$F$11&lt;&gt;"",'Your debts'!$F$6&lt;'Your debts'!$F$11),H257,0)+IF(AND('Your debts'!$F$7&lt;&gt;"",'Your debts'!$F$11&lt;&gt;"",'Your debts'!$F$7&lt;'Your debts'!$F$11),M257,0)+IF(AND('Your debts'!$F$8&lt;&gt;"",'Your debts'!$F$11&lt;&gt;"",'Your debts'!$F$8&lt;'Your debts'!$F$11),R257,0)+IF(AND('Your debts'!$F$9&lt;&gt;"",'Your debts'!$F$11&lt;&gt;"",'Your debts'!$F$9&lt;'Your debts'!$F$11),W257,0)+IF(AND('Your debts'!$F$10&lt;&gt;"",'Your debts'!$F$11&lt;&gt;"",'Your debts'!$F$10&lt;'Your debts'!$F$11),AB257,0)+IF(AND('Your debts'!$F$12&lt;&gt;"",'Your debts'!$F$11&lt;&gt;"",'Your debts'!$F$12&lt;'Your debts'!$F$11),AL257,0)+IF(AND('Your debts'!$F$13&lt;&gt;"",'Your debts'!$F$11&lt;&gt;"",'Your debts'!$F$13&lt;'Your debts'!$F$11),AQ257,0)+IF(AND('Your debts'!$F$14&lt;&gt;"",'Your debts'!$F$11&lt;&gt;"",'Your debts'!$F$14&lt;'Your debts'!$F$11),AV257,0)+IF(AND('Your debts'!$F$15&lt;&gt;"",'Your debts'!$F$11&lt;&gt;"",'Your debts'!$F$15&lt;'Your debts'!$F$11),BA257,0)))))</f>
        <v/>
      </c>
      <c r="AI257" s="33">
        <f>AG257-AH257</f>
        <v/>
      </c>
      <c r="AJ257" s="33">
        <f>IF(AN256&lt;=0,0,ROUND(AN256*(1+'Your debts'!$D$12/1200),2))</f>
        <v/>
      </c>
      <c r="AK257" s="33">
        <f>IF(AJ257&lt;=0,0,MIN('Your debts'!$E$12,AJ257))</f>
        <v/>
      </c>
      <c r="AL257" s="33">
        <f>AJ257-AK257</f>
        <v/>
      </c>
      <c r="AM257" s="33">
        <f>IF('Your debts'!$F$12="",0,MIN(AL257,MAX(0,MAX(0,'Your debts'!$C$19-(G257+L257+Q257+V257+AA257+AF257+AK257+AP257+AU257+AZ257))-(IF(AND('Your debts'!$F$6&lt;&gt;"",'Your debts'!$F$12&lt;&gt;"",'Your debts'!$F$6&lt;'Your debts'!$F$12),H257,0)+IF(AND('Your debts'!$F$7&lt;&gt;"",'Your debts'!$F$12&lt;&gt;"",'Your debts'!$F$7&lt;'Your debts'!$F$12),M257,0)+IF(AND('Your debts'!$F$8&lt;&gt;"",'Your debts'!$F$12&lt;&gt;"",'Your debts'!$F$8&lt;'Your debts'!$F$12),R257,0)+IF(AND('Your debts'!$F$9&lt;&gt;"",'Your debts'!$F$12&lt;&gt;"",'Your debts'!$F$9&lt;'Your debts'!$F$12),W257,0)+IF(AND('Your debts'!$F$10&lt;&gt;"",'Your debts'!$F$12&lt;&gt;"",'Your debts'!$F$10&lt;'Your debts'!$F$12),AB257,0)+IF(AND('Your debts'!$F$11&lt;&gt;"",'Your debts'!$F$12&lt;&gt;"",'Your debts'!$F$11&lt;'Your debts'!$F$12),AG257,0)+IF(AND('Your debts'!$F$13&lt;&gt;"",'Your debts'!$F$12&lt;&gt;"",'Your debts'!$F$13&lt;'Your debts'!$F$12),AQ257,0)+IF(AND('Your debts'!$F$14&lt;&gt;"",'Your debts'!$F$12&lt;&gt;"",'Your debts'!$F$14&lt;'Your debts'!$F$12),AV257,0)+IF(AND('Your debts'!$F$15&lt;&gt;"",'Your debts'!$F$12&lt;&gt;"",'Your debts'!$F$15&lt;'Your debts'!$F$12),BA257,0)))))</f>
        <v/>
      </c>
      <c r="AN257" s="33">
        <f>AL257-AM257</f>
        <v/>
      </c>
      <c r="AO257" s="33">
        <f>IF(AS256&lt;=0,0,ROUND(AS256*(1+'Your debts'!$D$13/1200),2))</f>
        <v/>
      </c>
      <c r="AP257" s="33">
        <f>IF(AO257&lt;=0,0,MIN('Your debts'!$E$13,AO257))</f>
        <v/>
      </c>
      <c r="AQ257" s="33">
        <f>AO257-AP257</f>
        <v/>
      </c>
      <c r="AR257" s="33">
        <f>IF('Your debts'!$F$13="",0,MIN(AQ257,MAX(0,MAX(0,'Your debts'!$C$19-(G257+L257+Q257+V257+AA257+AF257+AK257+AP257+AU257+AZ257))-(IF(AND('Your debts'!$F$6&lt;&gt;"",'Your debts'!$F$13&lt;&gt;"",'Your debts'!$F$6&lt;'Your debts'!$F$13),H257,0)+IF(AND('Your debts'!$F$7&lt;&gt;"",'Your debts'!$F$13&lt;&gt;"",'Your debts'!$F$7&lt;'Your debts'!$F$13),M257,0)+IF(AND('Your debts'!$F$8&lt;&gt;"",'Your debts'!$F$13&lt;&gt;"",'Your debts'!$F$8&lt;'Your debts'!$F$13),R257,0)+IF(AND('Your debts'!$F$9&lt;&gt;"",'Your debts'!$F$13&lt;&gt;"",'Your debts'!$F$9&lt;'Your debts'!$F$13),W257,0)+IF(AND('Your debts'!$F$10&lt;&gt;"",'Your debts'!$F$13&lt;&gt;"",'Your debts'!$F$10&lt;'Your debts'!$F$13),AB257,0)+IF(AND('Your debts'!$F$11&lt;&gt;"",'Your debts'!$F$13&lt;&gt;"",'Your debts'!$F$11&lt;'Your debts'!$F$13),AG257,0)+IF(AND('Your debts'!$F$12&lt;&gt;"",'Your debts'!$F$13&lt;&gt;"",'Your debts'!$F$12&lt;'Your debts'!$F$13),AL257,0)+IF(AND('Your debts'!$F$14&lt;&gt;"",'Your debts'!$F$13&lt;&gt;"",'Your debts'!$F$14&lt;'Your debts'!$F$13),AV257,0)+IF(AND('Your debts'!$F$15&lt;&gt;"",'Your debts'!$F$13&lt;&gt;"",'Your debts'!$F$15&lt;'Your debts'!$F$13),BA257,0)))))</f>
        <v/>
      </c>
      <c r="AS257" s="33">
        <f>AQ257-AR257</f>
        <v/>
      </c>
      <c r="AT257" s="33">
        <f>IF(AX256&lt;=0,0,ROUND(AX256*(1+'Your debts'!$D$14/1200),2))</f>
        <v/>
      </c>
      <c r="AU257" s="33">
        <f>IF(AT257&lt;=0,0,MIN('Your debts'!$E$14,AT257))</f>
        <v/>
      </c>
      <c r="AV257" s="33">
        <f>AT257-AU257</f>
        <v/>
      </c>
      <c r="AW257" s="33">
        <f>IF('Your debts'!$F$14="",0,MIN(AV257,MAX(0,MAX(0,'Your debts'!$C$19-(G257+L257+Q257+V257+AA257+AF257+AK257+AP257+AU257+AZ257))-(IF(AND('Your debts'!$F$6&lt;&gt;"",'Your debts'!$F$14&lt;&gt;"",'Your debts'!$F$6&lt;'Your debts'!$F$14),H257,0)+IF(AND('Your debts'!$F$7&lt;&gt;"",'Your debts'!$F$14&lt;&gt;"",'Your debts'!$F$7&lt;'Your debts'!$F$14),M257,0)+IF(AND('Your debts'!$F$8&lt;&gt;"",'Your debts'!$F$14&lt;&gt;"",'Your debts'!$F$8&lt;'Your debts'!$F$14),R257,0)+IF(AND('Your debts'!$F$9&lt;&gt;"",'Your debts'!$F$14&lt;&gt;"",'Your debts'!$F$9&lt;'Your debts'!$F$14),W257,0)+IF(AND('Your debts'!$F$10&lt;&gt;"",'Your debts'!$F$14&lt;&gt;"",'Your debts'!$F$10&lt;'Your debts'!$F$14),AB257,0)+IF(AND('Your debts'!$F$11&lt;&gt;"",'Your debts'!$F$14&lt;&gt;"",'Your debts'!$F$11&lt;'Your debts'!$F$14),AG257,0)+IF(AND('Your debts'!$F$12&lt;&gt;"",'Your debts'!$F$14&lt;&gt;"",'Your debts'!$F$12&lt;'Your debts'!$F$14),AL257,0)+IF(AND('Your debts'!$F$13&lt;&gt;"",'Your debts'!$F$14&lt;&gt;"",'Your debts'!$F$13&lt;'Your debts'!$F$14),AQ257,0)+IF(AND('Your debts'!$F$15&lt;&gt;"",'Your debts'!$F$14&lt;&gt;"",'Your debts'!$F$15&lt;'Your debts'!$F$14),BA257,0)))))</f>
        <v/>
      </c>
      <c r="AX257" s="33">
        <f>AV257-AW257</f>
        <v/>
      </c>
      <c r="AY257" s="33">
        <f>IF(BC256&lt;=0,0,ROUND(BC256*(1+'Your debts'!$D$15/1200),2))</f>
        <v/>
      </c>
      <c r="AZ257" s="33">
        <f>IF(AY257&lt;=0,0,MIN('Your debts'!$E$15,AY257))</f>
        <v/>
      </c>
      <c r="BA257" s="33">
        <f>AY257-AZ257</f>
        <v/>
      </c>
      <c r="BB257" s="33">
        <f>IF('Your debts'!$F$15="",0,MIN(BA257,MAX(0,MAX(0,'Your debts'!$C$19-(G257+L257+Q257+V257+AA257+AF257+AK257+AP257+AU257+AZ257))-(IF(AND('Your debts'!$F$6&lt;&gt;"",'Your debts'!$F$15&lt;&gt;"",'Your debts'!$F$6&lt;'Your debts'!$F$15),H257,0)+IF(AND('Your debts'!$F$7&lt;&gt;"",'Your debts'!$F$15&lt;&gt;"",'Your debts'!$F$7&lt;'Your debts'!$F$15),M257,0)+IF(AND('Your debts'!$F$8&lt;&gt;"",'Your debts'!$F$15&lt;&gt;"",'Your debts'!$F$8&lt;'Your debts'!$F$15),R257,0)+IF(AND('Your debts'!$F$9&lt;&gt;"",'Your debts'!$F$15&lt;&gt;"",'Your debts'!$F$9&lt;'Your debts'!$F$15),W257,0)+IF(AND('Your debts'!$F$10&lt;&gt;"",'Your debts'!$F$15&lt;&gt;"",'Your debts'!$F$10&lt;'Your debts'!$F$15),AB257,0)+IF(AND('Your debts'!$F$11&lt;&gt;"",'Your debts'!$F$15&lt;&gt;"",'Your debts'!$F$11&lt;'Your debts'!$F$15),AG257,0)+IF(AND('Your debts'!$F$12&lt;&gt;"",'Your debts'!$F$15&lt;&gt;"",'Your debts'!$F$12&lt;'Your debts'!$F$15),AL257,0)+IF(AND('Your debts'!$F$13&lt;&gt;"",'Your debts'!$F$15&lt;&gt;"",'Your debts'!$F$13&lt;'Your debts'!$F$15),AQ257,0)+IF(AND('Your debts'!$F$14&lt;&gt;"",'Your debts'!$F$15&lt;&gt;"",'Your debts'!$F$14&lt;'Your debts'!$F$15),AV257,0)))))</f>
        <v/>
      </c>
      <c r="BC257" s="33">
        <f>BA257-BB257</f>
        <v/>
      </c>
    </row>
    <row r="258">
      <c r="A258" s="30" t="n">
        <v>243</v>
      </c>
      <c r="B258" s="31">
        <f>EDATE($B$15,243)</f>
        <v/>
      </c>
      <c r="C258" s="32">
        <f>IF(J257&lt;=0,0,F258-J257)+IF(O257&lt;=0,0,K258-O257)+IF(T257&lt;=0,0,P258-T257)+IF(Y257&lt;=0,0,U258-Y257)+IF(AD257&lt;=0,0,Z258-AD257)+IF(AI257&lt;=0,0,AE258-AI257)+IF(AN257&lt;=0,0,AJ258-AN257)+IF(AS257&lt;=0,0,AO258-AS257)+IF(AX257&lt;=0,0,AT258-AX257)+IF(BC257&lt;=0,0,AY258-BC257)</f>
        <v/>
      </c>
      <c r="D258" s="32">
        <f>G258+I258+L258+N258+Q258+S258+V258+X258+AA258+AC258+AF258+AH258+AK258+AM258+AP258+AR258+AU258+AW258+AZ258+BB258</f>
        <v/>
      </c>
      <c r="E258" s="32">
        <f>J258+O258+T258+Y258+AD258+AI258+AN258+AS258+AX258+BC258</f>
        <v/>
      </c>
      <c r="F258" s="33">
        <f>IF(J257&lt;=0,0,ROUND(J257*(1+'Your debts'!$D$6/1200),2))</f>
        <v/>
      </c>
      <c r="G258" s="33">
        <f>IF(F258&lt;=0,0,MIN('Your debts'!$E$6,F258))</f>
        <v/>
      </c>
      <c r="H258" s="33">
        <f>F258-G258</f>
        <v/>
      </c>
      <c r="I258" s="33">
        <f>IF('Your debts'!$F$6="",0,MIN(H258,MAX(0,MAX(0,'Your debts'!$C$19-(G258+L258+Q258+V258+AA258+AF258+AK258+AP258+AU258+AZ258))-(IF(AND('Your debts'!$F$7&lt;&gt;"",'Your debts'!$F$6&lt;&gt;"",'Your debts'!$F$7&lt;'Your debts'!$F$6),M258,0)+IF(AND('Your debts'!$F$8&lt;&gt;"",'Your debts'!$F$6&lt;&gt;"",'Your debts'!$F$8&lt;'Your debts'!$F$6),R258,0)+IF(AND('Your debts'!$F$9&lt;&gt;"",'Your debts'!$F$6&lt;&gt;"",'Your debts'!$F$9&lt;'Your debts'!$F$6),W258,0)+IF(AND('Your debts'!$F$10&lt;&gt;"",'Your debts'!$F$6&lt;&gt;"",'Your debts'!$F$10&lt;'Your debts'!$F$6),AB258,0)+IF(AND('Your debts'!$F$11&lt;&gt;"",'Your debts'!$F$6&lt;&gt;"",'Your debts'!$F$11&lt;'Your debts'!$F$6),AG258,0)+IF(AND('Your debts'!$F$12&lt;&gt;"",'Your debts'!$F$6&lt;&gt;"",'Your debts'!$F$12&lt;'Your debts'!$F$6),AL258,0)+IF(AND('Your debts'!$F$13&lt;&gt;"",'Your debts'!$F$6&lt;&gt;"",'Your debts'!$F$13&lt;'Your debts'!$F$6),AQ258,0)+IF(AND('Your debts'!$F$14&lt;&gt;"",'Your debts'!$F$6&lt;&gt;"",'Your debts'!$F$14&lt;'Your debts'!$F$6),AV258,0)+IF(AND('Your debts'!$F$15&lt;&gt;"",'Your debts'!$F$6&lt;&gt;"",'Your debts'!$F$15&lt;'Your debts'!$F$6),BA258,0)))))</f>
        <v/>
      </c>
      <c r="J258" s="33">
        <f>H258-I258</f>
        <v/>
      </c>
      <c r="K258" s="33">
        <f>IF(O257&lt;=0,0,ROUND(O257*(1+'Your debts'!$D$7/1200),2))</f>
        <v/>
      </c>
      <c r="L258" s="33">
        <f>IF(K258&lt;=0,0,MIN('Your debts'!$E$7,K258))</f>
        <v/>
      </c>
      <c r="M258" s="33">
        <f>K258-L258</f>
        <v/>
      </c>
      <c r="N258" s="33">
        <f>IF('Your debts'!$F$7="",0,MIN(M258,MAX(0,MAX(0,'Your debts'!$C$19-(G258+L258+Q258+V258+AA258+AF258+AK258+AP258+AU258+AZ258))-(IF(AND('Your debts'!$F$6&lt;&gt;"",'Your debts'!$F$7&lt;&gt;"",'Your debts'!$F$6&lt;'Your debts'!$F$7),H258,0)+IF(AND('Your debts'!$F$8&lt;&gt;"",'Your debts'!$F$7&lt;&gt;"",'Your debts'!$F$8&lt;'Your debts'!$F$7),R258,0)+IF(AND('Your debts'!$F$9&lt;&gt;"",'Your debts'!$F$7&lt;&gt;"",'Your debts'!$F$9&lt;'Your debts'!$F$7),W258,0)+IF(AND('Your debts'!$F$10&lt;&gt;"",'Your debts'!$F$7&lt;&gt;"",'Your debts'!$F$10&lt;'Your debts'!$F$7),AB258,0)+IF(AND('Your debts'!$F$11&lt;&gt;"",'Your debts'!$F$7&lt;&gt;"",'Your debts'!$F$11&lt;'Your debts'!$F$7),AG258,0)+IF(AND('Your debts'!$F$12&lt;&gt;"",'Your debts'!$F$7&lt;&gt;"",'Your debts'!$F$12&lt;'Your debts'!$F$7),AL258,0)+IF(AND('Your debts'!$F$13&lt;&gt;"",'Your debts'!$F$7&lt;&gt;"",'Your debts'!$F$13&lt;'Your debts'!$F$7),AQ258,0)+IF(AND('Your debts'!$F$14&lt;&gt;"",'Your debts'!$F$7&lt;&gt;"",'Your debts'!$F$14&lt;'Your debts'!$F$7),AV258,0)+IF(AND('Your debts'!$F$15&lt;&gt;"",'Your debts'!$F$7&lt;&gt;"",'Your debts'!$F$15&lt;'Your debts'!$F$7),BA258,0)))))</f>
        <v/>
      </c>
      <c r="O258" s="33">
        <f>M258-N258</f>
        <v/>
      </c>
      <c r="P258" s="33">
        <f>IF(T257&lt;=0,0,ROUND(T257*(1+'Your debts'!$D$8/1200),2))</f>
        <v/>
      </c>
      <c r="Q258" s="33">
        <f>IF(P258&lt;=0,0,MIN('Your debts'!$E$8,P258))</f>
        <v/>
      </c>
      <c r="R258" s="33">
        <f>P258-Q258</f>
        <v/>
      </c>
      <c r="S258" s="33">
        <f>IF('Your debts'!$F$8="",0,MIN(R258,MAX(0,MAX(0,'Your debts'!$C$19-(G258+L258+Q258+V258+AA258+AF258+AK258+AP258+AU258+AZ258))-(IF(AND('Your debts'!$F$6&lt;&gt;"",'Your debts'!$F$8&lt;&gt;"",'Your debts'!$F$6&lt;'Your debts'!$F$8),H258,0)+IF(AND('Your debts'!$F$7&lt;&gt;"",'Your debts'!$F$8&lt;&gt;"",'Your debts'!$F$7&lt;'Your debts'!$F$8),M258,0)+IF(AND('Your debts'!$F$9&lt;&gt;"",'Your debts'!$F$8&lt;&gt;"",'Your debts'!$F$9&lt;'Your debts'!$F$8),W258,0)+IF(AND('Your debts'!$F$10&lt;&gt;"",'Your debts'!$F$8&lt;&gt;"",'Your debts'!$F$10&lt;'Your debts'!$F$8),AB258,0)+IF(AND('Your debts'!$F$11&lt;&gt;"",'Your debts'!$F$8&lt;&gt;"",'Your debts'!$F$11&lt;'Your debts'!$F$8),AG258,0)+IF(AND('Your debts'!$F$12&lt;&gt;"",'Your debts'!$F$8&lt;&gt;"",'Your debts'!$F$12&lt;'Your debts'!$F$8),AL258,0)+IF(AND('Your debts'!$F$13&lt;&gt;"",'Your debts'!$F$8&lt;&gt;"",'Your debts'!$F$13&lt;'Your debts'!$F$8),AQ258,0)+IF(AND('Your debts'!$F$14&lt;&gt;"",'Your debts'!$F$8&lt;&gt;"",'Your debts'!$F$14&lt;'Your debts'!$F$8),AV258,0)+IF(AND('Your debts'!$F$15&lt;&gt;"",'Your debts'!$F$8&lt;&gt;"",'Your debts'!$F$15&lt;'Your debts'!$F$8),BA258,0)))))</f>
        <v/>
      </c>
      <c r="T258" s="33">
        <f>R258-S258</f>
        <v/>
      </c>
      <c r="U258" s="33">
        <f>IF(Y257&lt;=0,0,ROUND(Y257*(1+'Your debts'!$D$9/1200),2))</f>
        <v/>
      </c>
      <c r="V258" s="33">
        <f>IF(U258&lt;=0,0,MIN('Your debts'!$E$9,U258))</f>
        <v/>
      </c>
      <c r="W258" s="33">
        <f>U258-V258</f>
        <v/>
      </c>
      <c r="X258" s="33">
        <f>IF('Your debts'!$F$9="",0,MIN(W258,MAX(0,MAX(0,'Your debts'!$C$19-(G258+L258+Q258+V258+AA258+AF258+AK258+AP258+AU258+AZ258))-(IF(AND('Your debts'!$F$6&lt;&gt;"",'Your debts'!$F$9&lt;&gt;"",'Your debts'!$F$6&lt;'Your debts'!$F$9),H258,0)+IF(AND('Your debts'!$F$7&lt;&gt;"",'Your debts'!$F$9&lt;&gt;"",'Your debts'!$F$7&lt;'Your debts'!$F$9),M258,0)+IF(AND('Your debts'!$F$8&lt;&gt;"",'Your debts'!$F$9&lt;&gt;"",'Your debts'!$F$8&lt;'Your debts'!$F$9),R258,0)+IF(AND('Your debts'!$F$10&lt;&gt;"",'Your debts'!$F$9&lt;&gt;"",'Your debts'!$F$10&lt;'Your debts'!$F$9),AB258,0)+IF(AND('Your debts'!$F$11&lt;&gt;"",'Your debts'!$F$9&lt;&gt;"",'Your debts'!$F$11&lt;'Your debts'!$F$9),AG258,0)+IF(AND('Your debts'!$F$12&lt;&gt;"",'Your debts'!$F$9&lt;&gt;"",'Your debts'!$F$12&lt;'Your debts'!$F$9),AL258,0)+IF(AND('Your debts'!$F$13&lt;&gt;"",'Your debts'!$F$9&lt;&gt;"",'Your debts'!$F$13&lt;'Your debts'!$F$9),AQ258,0)+IF(AND('Your debts'!$F$14&lt;&gt;"",'Your debts'!$F$9&lt;&gt;"",'Your debts'!$F$14&lt;'Your debts'!$F$9),AV258,0)+IF(AND('Your debts'!$F$15&lt;&gt;"",'Your debts'!$F$9&lt;&gt;"",'Your debts'!$F$15&lt;'Your debts'!$F$9),BA258,0)))))</f>
        <v/>
      </c>
      <c r="Y258" s="33">
        <f>W258-X258</f>
        <v/>
      </c>
      <c r="Z258" s="33">
        <f>IF(AD257&lt;=0,0,ROUND(AD257*(1+'Your debts'!$D$10/1200),2))</f>
        <v/>
      </c>
      <c r="AA258" s="33">
        <f>IF(Z258&lt;=0,0,MIN('Your debts'!$E$10,Z258))</f>
        <v/>
      </c>
      <c r="AB258" s="33">
        <f>Z258-AA258</f>
        <v/>
      </c>
      <c r="AC258" s="33">
        <f>IF('Your debts'!$F$10="",0,MIN(AB258,MAX(0,MAX(0,'Your debts'!$C$19-(G258+L258+Q258+V258+AA258+AF258+AK258+AP258+AU258+AZ258))-(IF(AND('Your debts'!$F$6&lt;&gt;"",'Your debts'!$F$10&lt;&gt;"",'Your debts'!$F$6&lt;'Your debts'!$F$10),H258,0)+IF(AND('Your debts'!$F$7&lt;&gt;"",'Your debts'!$F$10&lt;&gt;"",'Your debts'!$F$7&lt;'Your debts'!$F$10),M258,0)+IF(AND('Your debts'!$F$8&lt;&gt;"",'Your debts'!$F$10&lt;&gt;"",'Your debts'!$F$8&lt;'Your debts'!$F$10),R258,0)+IF(AND('Your debts'!$F$9&lt;&gt;"",'Your debts'!$F$10&lt;&gt;"",'Your debts'!$F$9&lt;'Your debts'!$F$10),W258,0)+IF(AND('Your debts'!$F$11&lt;&gt;"",'Your debts'!$F$10&lt;&gt;"",'Your debts'!$F$11&lt;'Your debts'!$F$10),AG258,0)+IF(AND('Your debts'!$F$12&lt;&gt;"",'Your debts'!$F$10&lt;&gt;"",'Your debts'!$F$12&lt;'Your debts'!$F$10),AL258,0)+IF(AND('Your debts'!$F$13&lt;&gt;"",'Your debts'!$F$10&lt;&gt;"",'Your debts'!$F$13&lt;'Your debts'!$F$10),AQ258,0)+IF(AND('Your debts'!$F$14&lt;&gt;"",'Your debts'!$F$10&lt;&gt;"",'Your debts'!$F$14&lt;'Your debts'!$F$10),AV258,0)+IF(AND('Your debts'!$F$15&lt;&gt;"",'Your debts'!$F$10&lt;&gt;"",'Your debts'!$F$15&lt;'Your debts'!$F$10),BA258,0)))))</f>
        <v/>
      </c>
      <c r="AD258" s="33">
        <f>AB258-AC258</f>
        <v/>
      </c>
      <c r="AE258" s="33">
        <f>IF(AI257&lt;=0,0,ROUND(AI257*(1+'Your debts'!$D$11/1200),2))</f>
        <v/>
      </c>
      <c r="AF258" s="33">
        <f>IF(AE258&lt;=0,0,MIN('Your debts'!$E$11,AE258))</f>
        <v/>
      </c>
      <c r="AG258" s="33">
        <f>AE258-AF258</f>
        <v/>
      </c>
      <c r="AH258" s="33">
        <f>IF('Your debts'!$F$11="",0,MIN(AG258,MAX(0,MAX(0,'Your debts'!$C$19-(G258+L258+Q258+V258+AA258+AF258+AK258+AP258+AU258+AZ258))-(IF(AND('Your debts'!$F$6&lt;&gt;"",'Your debts'!$F$11&lt;&gt;"",'Your debts'!$F$6&lt;'Your debts'!$F$11),H258,0)+IF(AND('Your debts'!$F$7&lt;&gt;"",'Your debts'!$F$11&lt;&gt;"",'Your debts'!$F$7&lt;'Your debts'!$F$11),M258,0)+IF(AND('Your debts'!$F$8&lt;&gt;"",'Your debts'!$F$11&lt;&gt;"",'Your debts'!$F$8&lt;'Your debts'!$F$11),R258,0)+IF(AND('Your debts'!$F$9&lt;&gt;"",'Your debts'!$F$11&lt;&gt;"",'Your debts'!$F$9&lt;'Your debts'!$F$11),W258,0)+IF(AND('Your debts'!$F$10&lt;&gt;"",'Your debts'!$F$11&lt;&gt;"",'Your debts'!$F$10&lt;'Your debts'!$F$11),AB258,0)+IF(AND('Your debts'!$F$12&lt;&gt;"",'Your debts'!$F$11&lt;&gt;"",'Your debts'!$F$12&lt;'Your debts'!$F$11),AL258,0)+IF(AND('Your debts'!$F$13&lt;&gt;"",'Your debts'!$F$11&lt;&gt;"",'Your debts'!$F$13&lt;'Your debts'!$F$11),AQ258,0)+IF(AND('Your debts'!$F$14&lt;&gt;"",'Your debts'!$F$11&lt;&gt;"",'Your debts'!$F$14&lt;'Your debts'!$F$11),AV258,0)+IF(AND('Your debts'!$F$15&lt;&gt;"",'Your debts'!$F$11&lt;&gt;"",'Your debts'!$F$15&lt;'Your debts'!$F$11),BA258,0)))))</f>
        <v/>
      </c>
      <c r="AI258" s="33">
        <f>AG258-AH258</f>
        <v/>
      </c>
      <c r="AJ258" s="33">
        <f>IF(AN257&lt;=0,0,ROUND(AN257*(1+'Your debts'!$D$12/1200),2))</f>
        <v/>
      </c>
      <c r="AK258" s="33">
        <f>IF(AJ258&lt;=0,0,MIN('Your debts'!$E$12,AJ258))</f>
        <v/>
      </c>
      <c r="AL258" s="33">
        <f>AJ258-AK258</f>
        <v/>
      </c>
      <c r="AM258" s="33">
        <f>IF('Your debts'!$F$12="",0,MIN(AL258,MAX(0,MAX(0,'Your debts'!$C$19-(G258+L258+Q258+V258+AA258+AF258+AK258+AP258+AU258+AZ258))-(IF(AND('Your debts'!$F$6&lt;&gt;"",'Your debts'!$F$12&lt;&gt;"",'Your debts'!$F$6&lt;'Your debts'!$F$12),H258,0)+IF(AND('Your debts'!$F$7&lt;&gt;"",'Your debts'!$F$12&lt;&gt;"",'Your debts'!$F$7&lt;'Your debts'!$F$12),M258,0)+IF(AND('Your debts'!$F$8&lt;&gt;"",'Your debts'!$F$12&lt;&gt;"",'Your debts'!$F$8&lt;'Your debts'!$F$12),R258,0)+IF(AND('Your debts'!$F$9&lt;&gt;"",'Your debts'!$F$12&lt;&gt;"",'Your debts'!$F$9&lt;'Your debts'!$F$12),W258,0)+IF(AND('Your debts'!$F$10&lt;&gt;"",'Your debts'!$F$12&lt;&gt;"",'Your debts'!$F$10&lt;'Your debts'!$F$12),AB258,0)+IF(AND('Your debts'!$F$11&lt;&gt;"",'Your debts'!$F$12&lt;&gt;"",'Your debts'!$F$11&lt;'Your debts'!$F$12),AG258,0)+IF(AND('Your debts'!$F$13&lt;&gt;"",'Your debts'!$F$12&lt;&gt;"",'Your debts'!$F$13&lt;'Your debts'!$F$12),AQ258,0)+IF(AND('Your debts'!$F$14&lt;&gt;"",'Your debts'!$F$12&lt;&gt;"",'Your debts'!$F$14&lt;'Your debts'!$F$12),AV258,0)+IF(AND('Your debts'!$F$15&lt;&gt;"",'Your debts'!$F$12&lt;&gt;"",'Your debts'!$F$15&lt;'Your debts'!$F$12),BA258,0)))))</f>
        <v/>
      </c>
      <c r="AN258" s="33">
        <f>AL258-AM258</f>
        <v/>
      </c>
      <c r="AO258" s="33">
        <f>IF(AS257&lt;=0,0,ROUND(AS257*(1+'Your debts'!$D$13/1200),2))</f>
        <v/>
      </c>
      <c r="AP258" s="33">
        <f>IF(AO258&lt;=0,0,MIN('Your debts'!$E$13,AO258))</f>
        <v/>
      </c>
      <c r="AQ258" s="33">
        <f>AO258-AP258</f>
        <v/>
      </c>
      <c r="AR258" s="33">
        <f>IF('Your debts'!$F$13="",0,MIN(AQ258,MAX(0,MAX(0,'Your debts'!$C$19-(G258+L258+Q258+V258+AA258+AF258+AK258+AP258+AU258+AZ258))-(IF(AND('Your debts'!$F$6&lt;&gt;"",'Your debts'!$F$13&lt;&gt;"",'Your debts'!$F$6&lt;'Your debts'!$F$13),H258,0)+IF(AND('Your debts'!$F$7&lt;&gt;"",'Your debts'!$F$13&lt;&gt;"",'Your debts'!$F$7&lt;'Your debts'!$F$13),M258,0)+IF(AND('Your debts'!$F$8&lt;&gt;"",'Your debts'!$F$13&lt;&gt;"",'Your debts'!$F$8&lt;'Your debts'!$F$13),R258,0)+IF(AND('Your debts'!$F$9&lt;&gt;"",'Your debts'!$F$13&lt;&gt;"",'Your debts'!$F$9&lt;'Your debts'!$F$13),W258,0)+IF(AND('Your debts'!$F$10&lt;&gt;"",'Your debts'!$F$13&lt;&gt;"",'Your debts'!$F$10&lt;'Your debts'!$F$13),AB258,0)+IF(AND('Your debts'!$F$11&lt;&gt;"",'Your debts'!$F$13&lt;&gt;"",'Your debts'!$F$11&lt;'Your debts'!$F$13),AG258,0)+IF(AND('Your debts'!$F$12&lt;&gt;"",'Your debts'!$F$13&lt;&gt;"",'Your debts'!$F$12&lt;'Your debts'!$F$13),AL258,0)+IF(AND('Your debts'!$F$14&lt;&gt;"",'Your debts'!$F$13&lt;&gt;"",'Your debts'!$F$14&lt;'Your debts'!$F$13),AV258,0)+IF(AND('Your debts'!$F$15&lt;&gt;"",'Your debts'!$F$13&lt;&gt;"",'Your debts'!$F$15&lt;'Your debts'!$F$13),BA258,0)))))</f>
        <v/>
      </c>
      <c r="AS258" s="33">
        <f>AQ258-AR258</f>
        <v/>
      </c>
      <c r="AT258" s="33">
        <f>IF(AX257&lt;=0,0,ROUND(AX257*(1+'Your debts'!$D$14/1200),2))</f>
        <v/>
      </c>
      <c r="AU258" s="33">
        <f>IF(AT258&lt;=0,0,MIN('Your debts'!$E$14,AT258))</f>
        <v/>
      </c>
      <c r="AV258" s="33">
        <f>AT258-AU258</f>
        <v/>
      </c>
      <c r="AW258" s="33">
        <f>IF('Your debts'!$F$14="",0,MIN(AV258,MAX(0,MAX(0,'Your debts'!$C$19-(G258+L258+Q258+V258+AA258+AF258+AK258+AP258+AU258+AZ258))-(IF(AND('Your debts'!$F$6&lt;&gt;"",'Your debts'!$F$14&lt;&gt;"",'Your debts'!$F$6&lt;'Your debts'!$F$14),H258,0)+IF(AND('Your debts'!$F$7&lt;&gt;"",'Your debts'!$F$14&lt;&gt;"",'Your debts'!$F$7&lt;'Your debts'!$F$14),M258,0)+IF(AND('Your debts'!$F$8&lt;&gt;"",'Your debts'!$F$14&lt;&gt;"",'Your debts'!$F$8&lt;'Your debts'!$F$14),R258,0)+IF(AND('Your debts'!$F$9&lt;&gt;"",'Your debts'!$F$14&lt;&gt;"",'Your debts'!$F$9&lt;'Your debts'!$F$14),W258,0)+IF(AND('Your debts'!$F$10&lt;&gt;"",'Your debts'!$F$14&lt;&gt;"",'Your debts'!$F$10&lt;'Your debts'!$F$14),AB258,0)+IF(AND('Your debts'!$F$11&lt;&gt;"",'Your debts'!$F$14&lt;&gt;"",'Your debts'!$F$11&lt;'Your debts'!$F$14),AG258,0)+IF(AND('Your debts'!$F$12&lt;&gt;"",'Your debts'!$F$14&lt;&gt;"",'Your debts'!$F$12&lt;'Your debts'!$F$14),AL258,0)+IF(AND('Your debts'!$F$13&lt;&gt;"",'Your debts'!$F$14&lt;&gt;"",'Your debts'!$F$13&lt;'Your debts'!$F$14),AQ258,0)+IF(AND('Your debts'!$F$15&lt;&gt;"",'Your debts'!$F$14&lt;&gt;"",'Your debts'!$F$15&lt;'Your debts'!$F$14),BA258,0)))))</f>
        <v/>
      </c>
      <c r="AX258" s="33">
        <f>AV258-AW258</f>
        <v/>
      </c>
      <c r="AY258" s="33">
        <f>IF(BC257&lt;=0,0,ROUND(BC257*(1+'Your debts'!$D$15/1200),2))</f>
        <v/>
      </c>
      <c r="AZ258" s="33">
        <f>IF(AY258&lt;=0,0,MIN('Your debts'!$E$15,AY258))</f>
        <v/>
      </c>
      <c r="BA258" s="33">
        <f>AY258-AZ258</f>
        <v/>
      </c>
      <c r="BB258" s="33">
        <f>IF('Your debts'!$F$15="",0,MIN(BA258,MAX(0,MAX(0,'Your debts'!$C$19-(G258+L258+Q258+V258+AA258+AF258+AK258+AP258+AU258+AZ258))-(IF(AND('Your debts'!$F$6&lt;&gt;"",'Your debts'!$F$15&lt;&gt;"",'Your debts'!$F$6&lt;'Your debts'!$F$15),H258,0)+IF(AND('Your debts'!$F$7&lt;&gt;"",'Your debts'!$F$15&lt;&gt;"",'Your debts'!$F$7&lt;'Your debts'!$F$15),M258,0)+IF(AND('Your debts'!$F$8&lt;&gt;"",'Your debts'!$F$15&lt;&gt;"",'Your debts'!$F$8&lt;'Your debts'!$F$15),R258,0)+IF(AND('Your debts'!$F$9&lt;&gt;"",'Your debts'!$F$15&lt;&gt;"",'Your debts'!$F$9&lt;'Your debts'!$F$15),W258,0)+IF(AND('Your debts'!$F$10&lt;&gt;"",'Your debts'!$F$15&lt;&gt;"",'Your debts'!$F$10&lt;'Your debts'!$F$15),AB258,0)+IF(AND('Your debts'!$F$11&lt;&gt;"",'Your debts'!$F$15&lt;&gt;"",'Your debts'!$F$11&lt;'Your debts'!$F$15),AG258,0)+IF(AND('Your debts'!$F$12&lt;&gt;"",'Your debts'!$F$15&lt;&gt;"",'Your debts'!$F$12&lt;'Your debts'!$F$15),AL258,0)+IF(AND('Your debts'!$F$13&lt;&gt;"",'Your debts'!$F$15&lt;&gt;"",'Your debts'!$F$13&lt;'Your debts'!$F$15),AQ258,0)+IF(AND('Your debts'!$F$14&lt;&gt;"",'Your debts'!$F$15&lt;&gt;"",'Your debts'!$F$14&lt;'Your debts'!$F$15),AV258,0)))))</f>
        <v/>
      </c>
      <c r="BC258" s="33">
        <f>BA258-BB258</f>
        <v/>
      </c>
    </row>
    <row r="259">
      <c r="A259" s="30" t="n">
        <v>244</v>
      </c>
      <c r="B259" s="31">
        <f>EDATE($B$15,244)</f>
        <v/>
      </c>
      <c r="C259" s="32">
        <f>IF(J258&lt;=0,0,F259-J258)+IF(O258&lt;=0,0,K259-O258)+IF(T258&lt;=0,0,P259-T258)+IF(Y258&lt;=0,0,U259-Y258)+IF(AD258&lt;=0,0,Z259-AD258)+IF(AI258&lt;=0,0,AE259-AI258)+IF(AN258&lt;=0,0,AJ259-AN258)+IF(AS258&lt;=0,0,AO259-AS258)+IF(AX258&lt;=0,0,AT259-AX258)+IF(BC258&lt;=0,0,AY259-BC258)</f>
        <v/>
      </c>
      <c r="D259" s="32">
        <f>G259+I259+L259+N259+Q259+S259+V259+X259+AA259+AC259+AF259+AH259+AK259+AM259+AP259+AR259+AU259+AW259+AZ259+BB259</f>
        <v/>
      </c>
      <c r="E259" s="32">
        <f>J259+O259+T259+Y259+AD259+AI259+AN259+AS259+AX259+BC259</f>
        <v/>
      </c>
      <c r="F259" s="33">
        <f>IF(J258&lt;=0,0,ROUND(J258*(1+'Your debts'!$D$6/1200),2))</f>
        <v/>
      </c>
      <c r="G259" s="33">
        <f>IF(F259&lt;=0,0,MIN('Your debts'!$E$6,F259))</f>
        <v/>
      </c>
      <c r="H259" s="33">
        <f>F259-G259</f>
        <v/>
      </c>
      <c r="I259" s="33">
        <f>IF('Your debts'!$F$6="",0,MIN(H259,MAX(0,MAX(0,'Your debts'!$C$19-(G259+L259+Q259+V259+AA259+AF259+AK259+AP259+AU259+AZ259))-(IF(AND('Your debts'!$F$7&lt;&gt;"",'Your debts'!$F$6&lt;&gt;"",'Your debts'!$F$7&lt;'Your debts'!$F$6),M259,0)+IF(AND('Your debts'!$F$8&lt;&gt;"",'Your debts'!$F$6&lt;&gt;"",'Your debts'!$F$8&lt;'Your debts'!$F$6),R259,0)+IF(AND('Your debts'!$F$9&lt;&gt;"",'Your debts'!$F$6&lt;&gt;"",'Your debts'!$F$9&lt;'Your debts'!$F$6),W259,0)+IF(AND('Your debts'!$F$10&lt;&gt;"",'Your debts'!$F$6&lt;&gt;"",'Your debts'!$F$10&lt;'Your debts'!$F$6),AB259,0)+IF(AND('Your debts'!$F$11&lt;&gt;"",'Your debts'!$F$6&lt;&gt;"",'Your debts'!$F$11&lt;'Your debts'!$F$6),AG259,0)+IF(AND('Your debts'!$F$12&lt;&gt;"",'Your debts'!$F$6&lt;&gt;"",'Your debts'!$F$12&lt;'Your debts'!$F$6),AL259,0)+IF(AND('Your debts'!$F$13&lt;&gt;"",'Your debts'!$F$6&lt;&gt;"",'Your debts'!$F$13&lt;'Your debts'!$F$6),AQ259,0)+IF(AND('Your debts'!$F$14&lt;&gt;"",'Your debts'!$F$6&lt;&gt;"",'Your debts'!$F$14&lt;'Your debts'!$F$6),AV259,0)+IF(AND('Your debts'!$F$15&lt;&gt;"",'Your debts'!$F$6&lt;&gt;"",'Your debts'!$F$15&lt;'Your debts'!$F$6),BA259,0)))))</f>
        <v/>
      </c>
      <c r="J259" s="33">
        <f>H259-I259</f>
        <v/>
      </c>
      <c r="K259" s="33">
        <f>IF(O258&lt;=0,0,ROUND(O258*(1+'Your debts'!$D$7/1200),2))</f>
        <v/>
      </c>
      <c r="L259" s="33">
        <f>IF(K259&lt;=0,0,MIN('Your debts'!$E$7,K259))</f>
        <v/>
      </c>
      <c r="M259" s="33">
        <f>K259-L259</f>
        <v/>
      </c>
      <c r="N259" s="33">
        <f>IF('Your debts'!$F$7="",0,MIN(M259,MAX(0,MAX(0,'Your debts'!$C$19-(G259+L259+Q259+V259+AA259+AF259+AK259+AP259+AU259+AZ259))-(IF(AND('Your debts'!$F$6&lt;&gt;"",'Your debts'!$F$7&lt;&gt;"",'Your debts'!$F$6&lt;'Your debts'!$F$7),H259,0)+IF(AND('Your debts'!$F$8&lt;&gt;"",'Your debts'!$F$7&lt;&gt;"",'Your debts'!$F$8&lt;'Your debts'!$F$7),R259,0)+IF(AND('Your debts'!$F$9&lt;&gt;"",'Your debts'!$F$7&lt;&gt;"",'Your debts'!$F$9&lt;'Your debts'!$F$7),W259,0)+IF(AND('Your debts'!$F$10&lt;&gt;"",'Your debts'!$F$7&lt;&gt;"",'Your debts'!$F$10&lt;'Your debts'!$F$7),AB259,0)+IF(AND('Your debts'!$F$11&lt;&gt;"",'Your debts'!$F$7&lt;&gt;"",'Your debts'!$F$11&lt;'Your debts'!$F$7),AG259,0)+IF(AND('Your debts'!$F$12&lt;&gt;"",'Your debts'!$F$7&lt;&gt;"",'Your debts'!$F$12&lt;'Your debts'!$F$7),AL259,0)+IF(AND('Your debts'!$F$13&lt;&gt;"",'Your debts'!$F$7&lt;&gt;"",'Your debts'!$F$13&lt;'Your debts'!$F$7),AQ259,0)+IF(AND('Your debts'!$F$14&lt;&gt;"",'Your debts'!$F$7&lt;&gt;"",'Your debts'!$F$14&lt;'Your debts'!$F$7),AV259,0)+IF(AND('Your debts'!$F$15&lt;&gt;"",'Your debts'!$F$7&lt;&gt;"",'Your debts'!$F$15&lt;'Your debts'!$F$7),BA259,0)))))</f>
        <v/>
      </c>
      <c r="O259" s="33">
        <f>M259-N259</f>
        <v/>
      </c>
      <c r="P259" s="33">
        <f>IF(T258&lt;=0,0,ROUND(T258*(1+'Your debts'!$D$8/1200),2))</f>
        <v/>
      </c>
      <c r="Q259" s="33">
        <f>IF(P259&lt;=0,0,MIN('Your debts'!$E$8,P259))</f>
        <v/>
      </c>
      <c r="R259" s="33">
        <f>P259-Q259</f>
        <v/>
      </c>
      <c r="S259" s="33">
        <f>IF('Your debts'!$F$8="",0,MIN(R259,MAX(0,MAX(0,'Your debts'!$C$19-(G259+L259+Q259+V259+AA259+AF259+AK259+AP259+AU259+AZ259))-(IF(AND('Your debts'!$F$6&lt;&gt;"",'Your debts'!$F$8&lt;&gt;"",'Your debts'!$F$6&lt;'Your debts'!$F$8),H259,0)+IF(AND('Your debts'!$F$7&lt;&gt;"",'Your debts'!$F$8&lt;&gt;"",'Your debts'!$F$7&lt;'Your debts'!$F$8),M259,0)+IF(AND('Your debts'!$F$9&lt;&gt;"",'Your debts'!$F$8&lt;&gt;"",'Your debts'!$F$9&lt;'Your debts'!$F$8),W259,0)+IF(AND('Your debts'!$F$10&lt;&gt;"",'Your debts'!$F$8&lt;&gt;"",'Your debts'!$F$10&lt;'Your debts'!$F$8),AB259,0)+IF(AND('Your debts'!$F$11&lt;&gt;"",'Your debts'!$F$8&lt;&gt;"",'Your debts'!$F$11&lt;'Your debts'!$F$8),AG259,0)+IF(AND('Your debts'!$F$12&lt;&gt;"",'Your debts'!$F$8&lt;&gt;"",'Your debts'!$F$12&lt;'Your debts'!$F$8),AL259,0)+IF(AND('Your debts'!$F$13&lt;&gt;"",'Your debts'!$F$8&lt;&gt;"",'Your debts'!$F$13&lt;'Your debts'!$F$8),AQ259,0)+IF(AND('Your debts'!$F$14&lt;&gt;"",'Your debts'!$F$8&lt;&gt;"",'Your debts'!$F$14&lt;'Your debts'!$F$8),AV259,0)+IF(AND('Your debts'!$F$15&lt;&gt;"",'Your debts'!$F$8&lt;&gt;"",'Your debts'!$F$15&lt;'Your debts'!$F$8),BA259,0)))))</f>
        <v/>
      </c>
      <c r="T259" s="33">
        <f>R259-S259</f>
        <v/>
      </c>
      <c r="U259" s="33">
        <f>IF(Y258&lt;=0,0,ROUND(Y258*(1+'Your debts'!$D$9/1200),2))</f>
        <v/>
      </c>
      <c r="V259" s="33">
        <f>IF(U259&lt;=0,0,MIN('Your debts'!$E$9,U259))</f>
        <v/>
      </c>
      <c r="W259" s="33">
        <f>U259-V259</f>
        <v/>
      </c>
      <c r="X259" s="33">
        <f>IF('Your debts'!$F$9="",0,MIN(W259,MAX(0,MAX(0,'Your debts'!$C$19-(G259+L259+Q259+V259+AA259+AF259+AK259+AP259+AU259+AZ259))-(IF(AND('Your debts'!$F$6&lt;&gt;"",'Your debts'!$F$9&lt;&gt;"",'Your debts'!$F$6&lt;'Your debts'!$F$9),H259,0)+IF(AND('Your debts'!$F$7&lt;&gt;"",'Your debts'!$F$9&lt;&gt;"",'Your debts'!$F$7&lt;'Your debts'!$F$9),M259,0)+IF(AND('Your debts'!$F$8&lt;&gt;"",'Your debts'!$F$9&lt;&gt;"",'Your debts'!$F$8&lt;'Your debts'!$F$9),R259,0)+IF(AND('Your debts'!$F$10&lt;&gt;"",'Your debts'!$F$9&lt;&gt;"",'Your debts'!$F$10&lt;'Your debts'!$F$9),AB259,0)+IF(AND('Your debts'!$F$11&lt;&gt;"",'Your debts'!$F$9&lt;&gt;"",'Your debts'!$F$11&lt;'Your debts'!$F$9),AG259,0)+IF(AND('Your debts'!$F$12&lt;&gt;"",'Your debts'!$F$9&lt;&gt;"",'Your debts'!$F$12&lt;'Your debts'!$F$9),AL259,0)+IF(AND('Your debts'!$F$13&lt;&gt;"",'Your debts'!$F$9&lt;&gt;"",'Your debts'!$F$13&lt;'Your debts'!$F$9),AQ259,0)+IF(AND('Your debts'!$F$14&lt;&gt;"",'Your debts'!$F$9&lt;&gt;"",'Your debts'!$F$14&lt;'Your debts'!$F$9),AV259,0)+IF(AND('Your debts'!$F$15&lt;&gt;"",'Your debts'!$F$9&lt;&gt;"",'Your debts'!$F$15&lt;'Your debts'!$F$9),BA259,0)))))</f>
        <v/>
      </c>
      <c r="Y259" s="33">
        <f>W259-X259</f>
        <v/>
      </c>
      <c r="Z259" s="33">
        <f>IF(AD258&lt;=0,0,ROUND(AD258*(1+'Your debts'!$D$10/1200),2))</f>
        <v/>
      </c>
      <c r="AA259" s="33">
        <f>IF(Z259&lt;=0,0,MIN('Your debts'!$E$10,Z259))</f>
        <v/>
      </c>
      <c r="AB259" s="33">
        <f>Z259-AA259</f>
        <v/>
      </c>
      <c r="AC259" s="33">
        <f>IF('Your debts'!$F$10="",0,MIN(AB259,MAX(0,MAX(0,'Your debts'!$C$19-(G259+L259+Q259+V259+AA259+AF259+AK259+AP259+AU259+AZ259))-(IF(AND('Your debts'!$F$6&lt;&gt;"",'Your debts'!$F$10&lt;&gt;"",'Your debts'!$F$6&lt;'Your debts'!$F$10),H259,0)+IF(AND('Your debts'!$F$7&lt;&gt;"",'Your debts'!$F$10&lt;&gt;"",'Your debts'!$F$7&lt;'Your debts'!$F$10),M259,0)+IF(AND('Your debts'!$F$8&lt;&gt;"",'Your debts'!$F$10&lt;&gt;"",'Your debts'!$F$8&lt;'Your debts'!$F$10),R259,0)+IF(AND('Your debts'!$F$9&lt;&gt;"",'Your debts'!$F$10&lt;&gt;"",'Your debts'!$F$9&lt;'Your debts'!$F$10),W259,0)+IF(AND('Your debts'!$F$11&lt;&gt;"",'Your debts'!$F$10&lt;&gt;"",'Your debts'!$F$11&lt;'Your debts'!$F$10),AG259,0)+IF(AND('Your debts'!$F$12&lt;&gt;"",'Your debts'!$F$10&lt;&gt;"",'Your debts'!$F$12&lt;'Your debts'!$F$10),AL259,0)+IF(AND('Your debts'!$F$13&lt;&gt;"",'Your debts'!$F$10&lt;&gt;"",'Your debts'!$F$13&lt;'Your debts'!$F$10),AQ259,0)+IF(AND('Your debts'!$F$14&lt;&gt;"",'Your debts'!$F$10&lt;&gt;"",'Your debts'!$F$14&lt;'Your debts'!$F$10),AV259,0)+IF(AND('Your debts'!$F$15&lt;&gt;"",'Your debts'!$F$10&lt;&gt;"",'Your debts'!$F$15&lt;'Your debts'!$F$10),BA259,0)))))</f>
        <v/>
      </c>
      <c r="AD259" s="33">
        <f>AB259-AC259</f>
        <v/>
      </c>
      <c r="AE259" s="33">
        <f>IF(AI258&lt;=0,0,ROUND(AI258*(1+'Your debts'!$D$11/1200),2))</f>
        <v/>
      </c>
      <c r="AF259" s="33">
        <f>IF(AE259&lt;=0,0,MIN('Your debts'!$E$11,AE259))</f>
        <v/>
      </c>
      <c r="AG259" s="33">
        <f>AE259-AF259</f>
        <v/>
      </c>
      <c r="AH259" s="33">
        <f>IF('Your debts'!$F$11="",0,MIN(AG259,MAX(0,MAX(0,'Your debts'!$C$19-(G259+L259+Q259+V259+AA259+AF259+AK259+AP259+AU259+AZ259))-(IF(AND('Your debts'!$F$6&lt;&gt;"",'Your debts'!$F$11&lt;&gt;"",'Your debts'!$F$6&lt;'Your debts'!$F$11),H259,0)+IF(AND('Your debts'!$F$7&lt;&gt;"",'Your debts'!$F$11&lt;&gt;"",'Your debts'!$F$7&lt;'Your debts'!$F$11),M259,0)+IF(AND('Your debts'!$F$8&lt;&gt;"",'Your debts'!$F$11&lt;&gt;"",'Your debts'!$F$8&lt;'Your debts'!$F$11),R259,0)+IF(AND('Your debts'!$F$9&lt;&gt;"",'Your debts'!$F$11&lt;&gt;"",'Your debts'!$F$9&lt;'Your debts'!$F$11),W259,0)+IF(AND('Your debts'!$F$10&lt;&gt;"",'Your debts'!$F$11&lt;&gt;"",'Your debts'!$F$10&lt;'Your debts'!$F$11),AB259,0)+IF(AND('Your debts'!$F$12&lt;&gt;"",'Your debts'!$F$11&lt;&gt;"",'Your debts'!$F$12&lt;'Your debts'!$F$11),AL259,0)+IF(AND('Your debts'!$F$13&lt;&gt;"",'Your debts'!$F$11&lt;&gt;"",'Your debts'!$F$13&lt;'Your debts'!$F$11),AQ259,0)+IF(AND('Your debts'!$F$14&lt;&gt;"",'Your debts'!$F$11&lt;&gt;"",'Your debts'!$F$14&lt;'Your debts'!$F$11),AV259,0)+IF(AND('Your debts'!$F$15&lt;&gt;"",'Your debts'!$F$11&lt;&gt;"",'Your debts'!$F$15&lt;'Your debts'!$F$11),BA259,0)))))</f>
        <v/>
      </c>
      <c r="AI259" s="33">
        <f>AG259-AH259</f>
        <v/>
      </c>
      <c r="AJ259" s="33">
        <f>IF(AN258&lt;=0,0,ROUND(AN258*(1+'Your debts'!$D$12/1200),2))</f>
        <v/>
      </c>
      <c r="AK259" s="33">
        <f>IF(AJ259&lt;=0,0,MIN('Your debts'!$E$12,AJ259))</f>
        <v/>
      </c>
      <c r="AL259" s="33">
        <f>AJ259-AK259</f>
        <v/>
      </c>
      <c r="AM259" s="33">
        <f>IF('Your debts'!$F$12="",0,MIN(AL259,MAX(0,MAX(0,'Your debts'!$C$19-(G259+L259+Q259+V259+AA259+AF259+AK259+AP259+AU259+AZ259))-(IF(AND('Your debts'!$F$6&lt;&gt;"",'Your debts'!$F$12&lt;&gt;"",'Your debts'!$F$6&lt;'Your debts'!$F$12),H259,0)+IF(AND('Your debts'!$F$7&lt;&gt;"",'Your debts'!$F$12&lt;&gt;"",'Your debts'!$F$7&lt;'Your debts'!$F$12),M259,0)+IF(AND('Your debts'!$F$8&lt;&gt;"",'Your debts'!$F$12&lt;&gt;"",'Your debts'!$F$8&lt;'Your debts'!$F$12),R259,0)+IF(AND('Your debts'!$F$9&lt;&gt;"",'Your debts'!$F$12&lt;&gt;"",'Your debts'!$F$9&lt;'Your debts'!$F$12),W259,0)+IF(AND('Your debts'!$F$10&lt;&gt;"",'Your debts'!$F$12&lt;&gt;"",'Your debts'!$F$10&lt;'Your debts'!$F$12),AB259,0)+IF(AND('Your debts'!$F$11&lt;&gt;"",'Your debts'!$F$12&lt;&gt;"",'Your debts'!$F$11&lt;'Your debts'!$F$12),AG259,0)+IF(AND('Your debts'!$F$13&lt;&gt;"",'Your debts'!$F$12&lt;&gt;"",'Your debts'!$F$13&lt;'Your debts'!$F$12),AQ259,0)+IF(AND('Your debts'!$F$14&lt;&gt;"",'Your debts'!$F$12&lt;&gt;"",'Your debts'!$F$14&lt;'Your debts'!$F$12),AV259,0)+IF(AND('Your debts'!$F$15&lt;&gt;"",'Your debts'!$F$12&lt;&gt;"",'Your debts'!$F$15&lt;'Your debts'!$F$12),BA259,0)))))</f>
        <v/>
      </c>
      <c r="AN259" s="33">
        <f>AL259-AM259</f>
        <v/>
      </c>
      <c r="AO259" s="33">
        <f>IF(AS258&lt;=0,0,ROUND(AS258*(1+'Your debts'!$D$13/1200),2))</f>
        <v/>
      </c>
      <c r="AP259" s="33">
        <f>IF(AO259&lt;=0,0,MIN('Your debts'!$E$13,AO259))</f>
        <v/>
      </c>
      <c r="AQ259" s="33">
        <f>AO259-AP259</f>
        <v/>
      </c>
      <c r="AR259" s="33">
        <f>IF('Your debts'!$F$13="",0,MIN(AQ259,MAX(0,MAX(0,'Your debts'!$C$19-(G259+L259+Q259+V259+AA259+AF259+AK259+AP259+AU259+AZ259))-(IF(AND('Your debts'!$F$6&lt;&gt;"",'Your debts'!$F$13&lt;&gt;"",'Your debts'!$F$6&lt;'Your debts'!$F$13),H259,0)+IF(AND('Your debts'!$F$7&lt;&gt;"",'Your debts'!$F$13&lt;&gt;"",'Your debts'!$F$7&lt;'Your debts'!$F$13),M259,0)+IF(AND('Your debts'!$F$8&lt;&gt;"",'Your debts'!$F$13&lt;&gt;"",'Your debts'!$F$8&lt;'Your debts'!$F$13),R259,0)+IF(AND('Your debts'!$F$9&lt;&gt;"",'Your debts'!$F$13&lt;&gt;"",'Your debts'!$F$9&lt;'Your debts'!$F$13),W259,0)+IF(AND('Your debts'!$F$10&lt;&gt;"",'Your debts'!$F$13&lt;&gt;"",'Your debts'!$F$10&lt;'Your debts'!$F$13),AB259,0)+IF(AND('Your debts'!$F$11&lt;&gt;"",'Your debts'!$F$13&lt;&gt;"",'Your debts'!$F$11&lt;'Your debts'!$F$13),AG259,0)+IF(AND('Your debts'!$F$12&lt;&gt;"",'Your debts'!$F$13&lt;&gt;"",'Your debts'!$F$12&lt;'Your debts'!$F$13),AL259,0)+IF(AND('Your debts'!$F$14&lt;&gt;"",'Your debts'!$F$13&lt;&gt;"",'Your debts'!$F$14&lt;'Your debts'!$F$13),AV259,0)+IF(AND('Your debts'!$F$15&lt;&gt;"",'Your debts'!$F$13&lt;&gt;"",'Your debts'!$F$15&lt;'Your debts'!$F$13),BA259,0)))))</f>
        <v/>
      </c>
      <c r="AS259" s="33">
        <f>AQ259-AR259</f>
        <v/>
      </c>
      <c r="AT259" s="33">
        <f>IF(AX258&lt;=0,0,ROUND(AX258*(1+'Your debts'!$D$14/1200),2))</f>
        <v/>
      </c>
      <c r="AU259" s="33">
        <f>IF(AT259&lt;=0,0,MIN('Your debts'!$E$14,AT259))</f>
        <v/>
      </c>
      <c r="AV259" s="33">
        <f>AT259-AU259</f>
        <v/>
      </c>
      <c r="AW259" s="33">
        <f>IF('Your debts'!$F$14="",0,MIN(AV259,MAX(0,MAX(0,'Your debts'!$C$19-(G259+L259+Q259+V259+AA259+AF259+AK259+AP259+AU259+AZ259))-(IF(AND('Your debts'!$F$6&lt;&gt;"",'Your debts'!$F$14&lt;&gt;"",'Your debts'!$F$6&lt;'Your debts'!$F$14),H259,0)+IF(AND('Your debts'!$F$7&lt;&gt;"",'Your debts'!$F$14&lt;&gt;"",'Your debts'!$F$7&lt;'Your debts'!$F$14),M259,0)+IF(AND('Your debts'!$F$8&lt;&gt;"",'Your debts'!$F$14&lt;&gt;"",'Your debts'!$F$8&lt;'Your debts'!$F$14),R259,0)+IF(AND('Your debts'!$F$9&lt;&gt;"",'Your debts'!$F$14&lt;&gt;"",'Your debts'!$F$9&lt;'Your debts'!$F$14),W259,0)+IF(AND('Your debts'!$F$10&lt;&gt;"",'Your debts'!$F$14&lt;&gt;"",'Your debts'!$F$10&lt;'Your debts'!$F$14),AB259,0)+IF(AND('Your debts'!$F$11&lt;&gt;"",'Your debts'!$F$14&lt;&gt;"",'Your debts'!$F$11&lt;'Your debts'!$F$14),AG259,0)+IF(AND('Your debts'!$F$12&lt;&gt;"",'Your debts'!$F$14&lt;&gt;"",'Your debts'!$F$12&lt;'Your debts'!$F$14),AL259,0)+IF(AND('Your debts'!$F$13&lt;&gt;"",'Your debts'!$F$14&lt;&gt;"",'Your debts'!$F$13&lt;'Your debts'!$F$14),AQ259,0)+IF(AND('Your debts'!$F$15&lt;&gt;"",'Your debts'!$F$14&lt;&gt;"",'Your debts'!$F$15&lt;'Your debts'!$F$14),BA259,0)))))</f>
        <v/>
      </c>
      <c r="AX259" s="33">
        <f>AV259-AW259</f>
        <v/>
      </c>
      <c r="AY259" s="33">
        <f>IF(BC258&lt;=0,0,ROUND(BC258*(1+'Your debts'!$D$15/1200),2))</f>
        <v/>
      </c>
      <c r="AZ259" s="33">
        <f>IF(AY259&lt;=0,0,MIN('Your debts'!$E$15,AY259))</f>
        <v/>
      </c>
      <c r="BA259" s="33">
        <f>AY259-AZ259</f>
        <v/>
      </c>
      <c r="BB259" s="33">
        <f>IF('Your debts'!$F$15="",0,MIN(BA259,MAX(0,MAX(0,'Your debts'!$C$19-(G259+L259+Q259+V259+AA259+AF259+AK259+AP259+AU259+AZ259))-(IF(AND('Your debts'!$F$6&lt;&gt;"",'Your debts'!$F$15&lt;&gt;"",'Your debts'!$F$6&lt;'Your debts'!$F$15),H259,0)+IF(AND('Your debts'!$F$7&lt;&gt;"",'Your debts'!$F$15&lt;&gt;"",'Your debts'!$F$7&lt;'Your debts'!$F$15),M259,0)+IF(AND('Your debts'!$F$8&lt;&gt;"",'Your debts'!$F$15&lt;&gt;"",'Your debts'!$F$8&lt;'Your debts'!$F$15),R259,0)+IF(AND('Your debts'!$F$9&lt;&gt;"",'Your debts'!$F$15&lt;&gt;"",'Your debts'!$F$9&lt;'Your debts'!$F$15),W259,0)+IF(AND('Your debts'!$F$10&lt;&gt;"",'Your debts'!$F$15&lt;&gt;"",'Your debts'!$F$10&lt;'Your debts'!$F$15),AB259,0)+IF(AND('Your debts'!$F$11&lt;&gt;"",'Your debts'!$F$15&lt;&gt;"",'Your debts'!$F$11&lt;'Your debts'!$F$15),AG259,0)+IF(AND('Your debts'!$F$12&lt;&gt;"",'Your debts'!$F$15&lt;&gt;"",'Your debts'!$F$12&lt;'Your debts'!$F$15),AL259,0)+IF(AND('Your debts'!$F$13&lt;&gt;"",'Your debts'!$F$15&lt;&gt;"",'Your debts'!$F$13&lt;'Your debts'!$F$15),AQ259,0)+IF(AND('Your debts'!$F$14&lt;&gt;"",'Your debts'!$F$15&lt;&gt;"",'Your debts'!$F$14&lt;'Your debts'!$F$15),AV259,0)))))</f>
        <v/>
      </c>
      <c r="BC259" s="33">
        <f>BA259-BB259</f>
        <v/>
      </c>
    </row>
    <row r="260">
      <c r="A260" s="30" t="n">
        <v>245</v>
      </c>
      <c r="B260" s="31">
        <f>EDATE($B$15,245)</f>
        <v/>
      </c>
      <c r="C260" s="32">
        <f>IF(J259&lt;=0,0,F260-J259)+IF(O259&lt;=0,0,K260-O259)+IF(T259&lt;=0,0,P260-T259)+IF(Y259&lt;=0,0,U260-Y259)+IF(AD259&lt;=0,0,Z260-AD259)+IF(AI259&lt;=0,0,AE260-AI259)+IF(AN259&lt;=0,0,AJ260-AN259)+IF(AS259&lt;=0,0,AO260-AS259)+IF(AX259&lt;=0,0,AT260-AX259)+IF(BC259&lt;=0,0,AY260-BC259)</f>
        <v/>
      </c>
      <c r="D260" s="32">
        <f>G260+I260+L260+N260+Q260+S260+V260+X260+AA260+AC260+AF260+AH260+AK260+AM260+AP260+AR260+AU260+AW260+AZ260+BB260</f>
        <v/>
      </c>
      <c r="E260" s="32">
        <f>J260+O260+T260+Y260+AD260+AI260+AN260+AS260+AX260+BC260</f>
        <v/>
      </c>
      <c r="F260" s="33">
        <f>IF(J259&lt;=0,0,ROUND(J259*(1+'Your debts'!$D$6/1200),2))</f>
        <v/>
      </c>
      <c r="G260" s="33">
        <f>IF(F260&lt;=0,0,MIN('Your debts'!$E$6,F260))</f>
        <v/>
      </c>
      <c r="H260" s="33">
        <f>F260-G260</f>
        <v/>
      </c>
      <c r="I260" s="33">
        <f>IF('Your debts'!$F$6="",0,MIN(H260,MAX(0,MAX(0,'Your debts'!$C$19-(G260+L260+Q260+V260+AA260+AF260+AK260+AP260+AU260+AZ260))-(IF(AND('Your debts'!$F$7&lt;&gt;"",'Your debts'!$F$6&lt;&gt;"",'Your debts'!$F$7&lt;'Your debts'!$F$6),M260,0)+IF(AND('Your debts'!$F$8&lt;&gt;"",'Your debts'!$F$6&lt;&gt;"",'Your debts'!$F$8&lt;'Your debts'!$F$6),R260,0)+IF(AND('Your debts'!$F$9&lt;&gt;"",'Your debts'!$F$6&lt;&gt;"",'Your debts'!$F$9&lt;'Your debts'!$F$6),W260,0)+IF(AND('Your debts'!$F$10&lt;&gt;"",'Your debts'!$F$6&lt;&gt;"",'Your debts'!$F$10&lt;'Your debts'!$F$6),AB260,0)+IF(AND('Your debts'!$F$11&lt;&gt;"",'Your debts'!$F$6&lt;&gt;"",'Your debts'!$F$11&lt;'Your debts'!$F$6),AG260,0)+IF(AND('Your debts'!$F$12&lt;&gt;"",'Your debts'!$F$6&lt;&gt;"",'Your debts'!$F$12&lt;'Your debts'!$F$6),AL260,0)+IF(AND('Your debts'!$F$13&lt;&gt;"",'Your debts'!$F$6&lt;&gt;"",'Your debts'!$F$13&lt;'Your debts'!$F$6),AQ260,0)+IF(AND('Your debts'!$F$14&lt;&gt;"",'Your debts'!$F$6&lt;&gt;"",'Your debts'!$F$14&lt;'Your debts'!$F$6),AV260,0)+IF(AND('Your debts'!$F$15&lt;&gt;"",'Your debts'!$F$6&lt;&gt;"",'Your debts'!$F$15&lt;'Your debts'!$F$6),BA260,0)))))</f>
        <v/>
      </c>
      <c r="J260" s="33">
        <f>H260-I260</f>
        <v/>
      </c>
      <c r="K260" s="33">
        <f>IF(O259&lt;=0,0,ROUND(O259*(1+'Your debts'!$D$7/1200),2))</f>
        <v/>
      </c>
      <c r="L260" s="33">
        <f>IF(K260&lt;=0,0,MIN('Your debts'!$E$7,K260))</f>
        <v/>
      </c>
      <c r="M260" s="33">
        <f>K260-L260</f>
        <v/>
      </c>
      <c r="N260" s="33">
        <f>IF('Your debts'!$F$7="",0,MIN(M260,MAX(0,MAX(0,'Your debts'!$C$19-(G260+L260+Q260+V260+AA260+AF260+AK260+AP260+AU260+AZ260))-(IF(AND('Your debts'!$F$6&lt;&gt;"",'Your debts'!$F$7&lt;&gt;"",'Your debts'!$F$6&lt;'Your debts'!$F$7),H260,0)+IF(AND('Your debts'!$F$8&lt;&gt;"",'Your debts'!$F$7&lt;&gt;"",'Your debts'!$F$8&lt;'Your debts'!$F$7),R260,0)+IF(AND('Your debts'!$F$9&lt;&gt;"",'Your debts'!$F$7&lt;&gt;"",'Your debts'!$F$9&lt;'Your debts'!$F$7),W260,0)+IF(AND('Your debts'!$F$10&lt;&gt;"",'Your debts'!$F$7&lt;&gt;"",'Your debts'!$F$10&lt;'Your debts'!$F$7),AB260,0)+IF(AND('Your debts'!$F$11&lt;&gt;"",'Your debts'!$F$7&lt;&gt;"",'Your debts'!$F$11&lt;'Your debts'!$F$7),AG260,0)+IF(AND('Your debts'!$F$12&lt;&gt;"",'Your debts'!$F$7&lt;&gt;"",'Your debts'!$F$12&lt;'Your debts'!$F$7),AL260,0)+IF(AND('Your debts'!$F$13&lt;&gt;"",'Your debts'!$F$7&lt;&gt;"",'Your debts'!$F$13&lt;'Your debts'!$F$7),AQ260,0)+IF(AND('Your debts'!$F$14&lt;&gt;"",'Your debts'!$F$7&lt;&gt;"",'Your debts'!$F$14&lt;'Your debts'!$F$7),AV260,0)+IF(AND('Your debts'!$F$15&lt;&gt;"",'Your debts'!$F$7&lt;&gt;"",'Your debts'!$F$15&lt;'Your debts'!$F$7),BA260,0)))))</f>
        <v/>
      </c>
      <c r="O260" s="33">
        <f>M260-N260</f>
        <v/>
      </c>
      <c r="P260" s="33">
        <f>IF(T259&lt;=0,0,ROUND(T259*(1+'Your debts'!$D$8/1200),2))</f>
        <v/>
      </c>
      <c r="Q260" s="33">
        <f>IF(P260&lt;=0,0,MIN('Your debts'!$E$8,P260))</f>
        <v/>
      </c>
      <c r="R260" s="33">
        <f>P260-Q260</f>
        <v/>
      </c>
      <c r="S260" s="33">
        <f>IF('Your debts'!$F$8="",0,MIN(R260,MAX(0,MAX(0,'Your debts'!$C$19-(G260+L260+Q260+V260+AA260+AF260+AK260+AP260+AU260+AZ260))-(IF(AND('Your debts'!$F$6&lt;&gt;"",'Your debts'!$F$8&lt;&gt;"",'Your debts'!$F$6&lt;'Your debts'!$F$8),H260,0)+IF(AND('Your debts'!$F$7&lt;&gt;"",'Your debts'!$F$8&lt;&gt;"",'Your debts'!$F$7&lt;'Your debts'!$F$8),M260,0)+IF(AND('Your debts'!$F$9&lt;&gt;"",'Your debts'!$F$8&lt;&gt;"",'Your debts'!$F$9&lt;'Your debts'!$F$8),W260,0)+IF(AND('Your debts'!$F$10&lt;&gt;"",'Your debts'!$F$8&lt;&gt;"",'Your debts'!$F$10&lt;'Your debts'!$F$8),AB260,0)+IF(AND('Your debts'!$F$11&lt;&gt;"",'Your debts'!$F$8&lt;&gt;"",'Your debts'!$F$11&lt;'Your debts'!$F$8),AG260,0)+IF(AND('Your debts'!$F$12&lt;&gt;"",'Your debts'!$F$8&lt;&gt;"",'Your debts'!$F$12&lt;'Your debts'!$F$8),AL260,0)+IF(AND('Your debts'!$F$13&lt;&gt;"",'Your debts'!$F$8&lt;&gt;"",'Your debts'!$F$13&lt;'Your debts'!$F$8),AQ260,0)+IF(AND('Your debts'!$F$14&lt;&gt;"",'Your debts'!$F$8&lt;&gt;"",'Your debts'!$F$14&lt;'Your debts'!$F$8),AV260,0)+IF(AND('Your debts'!$F$15&lt;&gt;"",'Your debts'!$F$8&lt;&gt;"",'Your debts'!$F$15&lt;'Your debts'!$F$8),BA260,0)))))</f>
        <v/>
      </c>
      <c r="T260" s="33">
        <f>R260-S260</f>
        <v/>
      </c>
      <c r="U260" s="33">
        <f>IF(Y259&lt;=0,0,ROUND(Y259*(1+'Your debts'!$D$9/1200),2))</f>
        <v/>
      </c>
      <c r="V260" s="33">
        <f>IF(U260&lt;=0,0,MIN('Your debts'!$E$9,U260))</f>
        <v/>
      </c>
      <c r="W260" s="33">
        <f>U260-V260</f>
        <v/>
      </c>
      <c r="X260" s="33">
        <f>IF('Your debts'!$F$9="",0,MIN(W260,MAX(0,MAX(0,'Your debts'!$C$19-(G260+L260+Q260+V260+AA260+AF260+AK260+AP260+AU260+AZ260))-(IF(AND('Your debts'!$F$6&lt;&gt;"",'Your debts'!$F$9&lt;&gt;"",'Your debts'!$F$6&lt;'Your debts'!$F$9),H260,0)+IF(AND('Your debts'!$F$7&lt;&gt;"",'Your debts'!$F$9&lt;&gt;"",'Your debts'!$F$7&lt;'Your debts'!$F$9),M260,0)+IF(AND('Your debts'!$F$8&lt;&gt;"",'Your debts'!$F$9&lt;&gt;"",'Your debts'!$F$8&lt;'Your debts'!$F$9),R260,0)+IF(AND('Your debts'!$F$10&lt;&gt;"",'Your debts'!$F$9&lt;&gt;"",'Your debts'!$F$10&lt;'Your debts'!$F$9),AB260,0)+IF(AND('Your debts'!$F$11&lt;&gt;"",'Your debts'!$F$9&lt;&gt;"",'Your debts'!$F$11&lt;'Your debts'!$F$9),AG260,0)+IF(AND('Your debts'!$F$12&lt;&gt;"",'Your debts'!$F$9&lt;&gt;"",'Your debts'!$F$12&lt;'Your debts'!$F$9),AL260,0)+IF(AND('Your debts'!$F$13&lt;&gt;"",'Your debts'!$F$9&lt;&gt;"",'Your debts'!$F$13&lt;'Your debts'!$F$9),AQ260,0)+IF(AND('Your debts'!$F$14&lt;&gt;"",'Your debts'!$F$9&lt;&gt;"",'Your debts'!$F$14&lt;'Your debts'!$F$9),AV260,0)+IF(AND('Your debts'!$F$15&lt;&gt;"",'Your debts'!$F$9&lt;&gt;"",'Your debts'!$F$15&lt;'Your debts'!$F$9),BA260,0)))))</f>
        <v/>
      </c>
      <c r="Y260" s="33">
        <f>W260-X260</f>
        <v/>
      </c>
      <c r="Z260" s="33">
        <f>IF(AD259&lt;=0,0,ROUND(AD259*(1+'Your debts'!$D$10/1200),2))</f>
        <v/>
      </c>
      <c r="AA260" s="33">
        <f>IF(Z260&lt;=0,0,MIN('Your debts'!$E$10,Z260))</f>
        <v/>
      </c>
      <c r="AB260" s="33">
        <f>Z260-AA260</f>
        <v/>
      </c>
      <c r="AC260" s="33">
        <f>IF('Your debts'!$F$10="",0,MIN(AB260,MAX(0,MAX(0,'Your debts'!$C$19-(G260+L260+Q260+V260+AA260+AF260+AK260+AP260+AU260+AZ260))-(IF(AND('Your debts'!$F$6&lt;&gt;"",'Your debts'!$F$10&lt;&gt;"",'Your debts'!$F$6&lt;'Your debts'!$F$10),H260,0)+IF(AND('Your debts'!$F$7&lt;&gt;"",'Your debts'!$F$10&lt;&gt;"",'Your debts'!$F$7&lt;'Your debts'!$F$10),M260,0)+IF(AND('Your debts'!$F$8&lt;&gt;"",'Your debts'!$F$10&lt;&gt;"",'Your debts'!$F$8&lt;'Your debts'!$F$10),R260,0)+IF(AND('Your debts'!$F$9&lt;&gt;"",'Your debts'!$F$10&lt;&gt;"",'Your debts'!$F$9&lt;'Your debts'!$F$10),W260,0)+IF(AND('Your debts'!$F$11&lt;&gt;"",'Your debts'!$F$10&lt;&gt;"",'Your debts'!$F$11&lt;'Your debts'!$F$10),AG260,0)+IF(AND('Your debts'!$F$12&lt;&gt;"",'Your debts'!$F$10&lt;&gt;"",'Your debts'!$F$12&lt;'Your debts'!$F$10),AL260,0)+IF(AND('Your debts'!$F$13&lt;&gt;"",'Your debts'!$F$10&lt;&gt;"",'Your debts'!$F$13&lt;'Your debts'!$F$10),AQ260,0)+IF(AND('Your debts'!$F$14&lt;&gt;"",'Your debts'!$F$10&lt;&gt;"",'Your debts'!$F$14&lt;'Your debts'!$F$10),AV260,0)+IF(AND('Your debts'!$F$15&lt;&gt;"",'Your debts'!$F$10&lt;&gt;"",'Your debts'!$F$15&lt;'Your debts'!$F$10),BA260,0)))))</f>
        <v/>
      </c>
      <c r="AD260" s="33">
        <f>AB260-AC260</f>
        <v/>
      </c>
      <c r="AE260" s="33">
        <f>IF(AI259&lt;=0,0,ROUND(AI259*(1+'Your debts'!$D$11/1200),2))</f>
        <v/>
      </c>
      <c r="AF260" s="33">
        <f>IF(AE260&lt;=0,0,MIN('Your debts'!$E$11,AE260))</f>
        <v/>
      </c>
      <c r="AG260" s="33">
        <f>AE260-AF260</f>
        <v/>
      </c>
      <c r="AH260" s="33">
        <f>IF('Your debts'!$F$11="",0,MIN(AG260,MAX(0,MAX(0,'Your debts'!$C$19-(G260+L260+Q260+V260+AA260+AF260+AK260+AP260+AU260+AZ260))-(IF(AND('Your debts'!$F$6&lt;&gt;"",'Your debts'!$F$11&lt;&gt;"",'Your debts'!$F$6&lt;'Your debts'!$F$11),H260,0)+IF(AND('Your debts'!$F$7&lt;&gt;"",'Your debts'!$F$11&lt;&gt;"",'Your debts'!$F$7&lt;'Your debts'!$F$11),M260,0)+IF(AND('Your debts'!$F$8&lt;&gt;"",'Your debts'!$F$11&lt;&gt;"",'Your debts'!$F$8&lt;'Your debts'!$F$11),R260,0)+IF(AND('Your debts'!$F$9&lt;&gt;"",'Your debts'!$F$11&lt;&gt;"",'Your debts'!$F$9&lt;'Your debts'!$F$11),W260,0)+IF(AND('Your debts'!$F$10&lt;&gt;"",'Your debts'!$F$11&lt;&gt;"",'Your debts'!$F$10&lt;'Your debts'!$F$11),AB260,0)+IF(AND('Your debts'!$F$12&lt;&gt;"",'Your debts'!$F$11&lt;&gt;"",'Your debts'!$F$12&lt;'Your debts'!$F$11),AL260,0)+IF(AND('Your debts'!$F$13&lt;&gt;"",'Your debts'!$F$11&lt;&gt;"",'Your debts'!$F$13&lt;'Your debts'!$F$11),AQ260,0)+IF(AND('Your debts'!$F$14&lt;&gt;"",'Your debts'!$F$11&lt;&gt;"",'Your debts'!$F$14&lt;'Your debts'!$F$11),AV260,0)+IF(AND('Your debts'!$F$15&lt;&gt;"",'Your debts'!$F$11&lt;&gt;"",'Your debts'!$F$15&lt;'Your debts'!$F$11),BA260,0)))))</f>
        <v/>
      </c>
      <c r="AI260" s="33">
        <f>AG260-AH260</f>
        <v/>
      </c>
      <c r="AJ260" s="33">
        <f>IF(AN259&lt;=0,0,ROUND(AN259*(1+'Your debts'!$D$12/1200),2))</f>
        <v/>
      </c>
      <c r="AK260" s="33">
        <f>IF(AJ260&lt;=0,0,MIN('Your debts'!$E$12,AJ260))</f>
        <v/>
      </c>
      <c r="AL260" s="33">
        <f>AJ260-AK260</f>
        <v/>
      </c>
      <c r="AM260" s="33">
        <f>IF('Your debts'!$F$12="",0,MIN(AL260,MAX(0,MAX(0,'Your debts'!$C$19-(G260+L260+Q260+V260+AA260+AF260+AK260+AP260+AU260+AZ260))-(IF(AND('Your debts'!$F$6&lt;&gt;"",'Your debts'!$F$12&lt;&gt;"",'Your debts'!$F$6&lt;'Your debts'!$F$12),H260,0)+IF(AND('Your debts'!$F$7&lt;&gt;"",'Your debts'!$F$12&lt;&gt;"",'Your debts'!$F$7&lt;'Your debts'!$F$12),M260,0)+IF(AND('Your debts'!$F$8&lt;&gt;"",'Your debts'!$F$12&lt;&gt;"",'Your debts'!$F$8&lt;'Your debts'!$F$12),R260,0)+IF(AND('Your debts'!$F$9&lt;&gt;"",'Your debts'!$F$12&lt;&gt;"",'Your debts'!$F$9&lt;'Your debts'!$F$12),W260,0)+IF(AND('Your debts'!$F$10&lt;&gt;"",'Your debts'!$F$12&lt;&gt;"",'Your debts'!$F$10&lt;'Your debts'!$F$12),AB260,0)+IF(AND('Your debts'!$F$11&lt;&gt;"",'Your debts'!$F$12&lt;&gt;"",'Your debts'!$F$11&lt;'Your debts'!$F$12),AG260,0)+IF(AND('Your debts'!$F$13&lt;&gt;"",'Your debts'!$F$12&lt;&gt;"",'Your debts'!$F$13&lt;'Your debts'!$F$12),AQ260,0)+IF(AND('Your debts'!$F$14&lt;&gt;"",'Your debts'!$F$12&lt;&gt;"",'Your debts'!$F$14&lt;'Your debts'!$F$12),AV260,0)+IF(AND('Your debts'!$F$15&lt;&gt;"",'Your debts'!$F$12&lt;&gt;"",'Your debts'!$F$15&lt;'Your debts'!$F$12),BA260,0)))))</f>
        <v/>
      </c>
      <c r="AN260" s="33">
        <f>AL260-AM260</f>
        <v/>
      </c>
      <c r="AO260" s="33">
        <f>IF(AS259&lt;=0,0,ROUND(AS259*(1+'Your debts'!$D$13/1200),2))</f>
        <v/>
      </c>
      <c r="AP260" s="33">
        <f>IF(AO260&lt;=0,0,MIN('Your debts'!$E$13,AO260))</f>
        <v/>
      </c>
      <c r="AQ260" s="33">
        <f>AO260-AP260</f>
        <v/>
      </c>
      <c r="AR260" s="33">
        <f>IF('Your debts'!$F$13="",0,MIN(AQ260,MAX(0,MAX(0,'Your debts'!$C$19-(G260+L260+Q260+V260+AA260+AF260+AK260+AP260+AU260+AZ260))-(IF(AND('Your debts'!$F$6&lt;&gt;"",'Your debts'!$F$13&lt;&gt;"",'Your debts'!$F$6&lt;'Your debts'!$F$13),H260,0)+IF(AND('Your debts'!$F$7&lt;&gt;"",'Your debts'!$F$13&lt;&gt;"",'Your debts'!$F$7&lt;'Your debts'!$F$13),M260,0)+IF(AND('Your debts'!$F$8&lt;&gt;"",'Your debts'!$F$13&lt;&gt;"",'Your debts'!$F$8&lt;'Your debts'!$F$13),R260,0)+IF(AND('Your debts'!$F$9&lt;&gt;"",'Your debts'!$F$13&lt;&gt;"",'Your debts'!$F$9&lt;'Your debts'!$F$13),W260,0)+IF(AND('Your debts'!$F$10&lt;&gt;"",'Your debts'!$F$13&lt;&gt;"",'Your debts'!$F$10&lt;'Your debts'!$F$13),AB260,0)+IF(AND('Your debts'!$F$11&lt;&gt;"",'Your debts'!$F$13&lt;&gt;"",'Your debts'!$F$11&lt;'Your debts'!$F$13),AG260,0)+IF(AND('Your debts'!$F$12&lt;&gt;"",'Your debts'!$F$13&lt;&gt;"",'Your debts'!$F$12&lt;'Your debts'!$F$13),AL260,0)+IF(AND('Your debts'!$F$14&lt;&gt;"",'Your debts'!$F$13&lt;&gt;"",'Your debts'!$F$14&lt;'Your debts'!$F$13),AV260,0)+IF(AND('Your debts'!$F$15&lt;&gt;"",'Your debts'!$F$13&lt;&gt;"",'Your debts'!$F$15&lt;'Your debts'!$F$13),BA260,0)))))</f>
        <v/>
      </c>
      <c r="AS260" s="33">
        <f>AQ260-AR260</f>
        <v/>
      </c>
      <c r="AT260" s="33">
        <f>IF(AX259&lt;=0,0,ROUND(AX259*(1+'Your debts'!$D$14/1200),2))</f>
        <v/>
      </c>
      <c r="AU260" s="33">
        <f>IF(AT260&lt;=0,0,MIN('Your debts'!$E$14,AT260))</f>
        <v/>
      </c>
      <c r="AV260" s="33">
        <f>AT260-AU260</f>
        <v/>
      </c>
      <c r="AW260" s="33">
        <f>IF('Your debts'!$F$14="",0,MIN(AV260,MAX(0,MAX(0,'Your debts'!$C$19-(G260+L260+Q260+V260+AA260+AF260+AK260+AP260+AU260+AZ260))-(IF(AND('Your debts'!$F$6&lt;&gt;"",'Your debts'!$F$14&lt;&gt;"",'Your debts'!$F$6&lt;'Your debts'!$F$14),H260,0)+IF(AND('Your debts'!$F$7&lt;&gt;"",'Your debts'!$F$14&lt;&gt;"",'Your debts'!$F$7&lt;'Your debts'!$F$14),M260,0)+IF(AND('Your debts'!$F$8&lt;&gt;"",'Your debts'!$F$14&lt;&gt;"",'Your debts'!$F$8&lt;'Your debts'!$F$14),R260,0)+IF(AND('Your debts'!$F$9&lt;&gt;"",'Your debts'!$F$14&lt;&gt;"",'Your debts'!$F$9&lt;'Your debts'!$F$14),W260,0)+IF(AND('Your debts'!$F$10&lt;&gt;"",'Your debts'!$F$14&lt;&gt;"",'Your debts'!$F$10&lt;'Your debts'!$F$14),AB260,0)+IF(AND('Your debts'!$F$11&lt;&gt;"",'Your debts'!$F$14&lt;&gt;"",'Your debts'!$F$11&lt;'Your debts'!$F$14),AG260,0)+IF(AND('Your debts'!$F$12&lt;&gt;"",'Your debts'!$F$14&lt;&gt;"",'Your debts'!$F$12&lt;'Your debts'!$F$14),AL260,0)+IF(AND('Your debts'!$F$13&lt;&gt;"",'Your debts'!$F$14&lt;&gt;"",'Your debts'!$F$13&lt;'Your debts'!$F$14),AQ260,0)+IF(AND('Your debts'!$F$15&lt;&gt;"",'Your debts'!$F$14&lt;&gt;"",'Your debts'!$F$15&lt;'Your debts'!$F$14),BA260,0)))))</f>
        <v/>
      </c>
      <c r="AX260" s="33">
        <f>AV260-AW260</f>
        <v/>
      </c>
      <c r="AY260" s="33">
        <f>IF(BC259&lt;=0,0,ROUND(BC259*(1+'Your debts'!$D$15/1200),2))</f>
        <v/>
      </c>
      <c r="AZ260" s="33">
        <f>IF(AY260&lt;=0,0,MIN('Your debts'!$E$15,AY260))</f>
        <v/>
      </c>
      <c r="BA260" s="33">
        <f>AY260-AZ260</f>
        <v/>
      </c>
      <c r="BB260" s="33">
        <f>IF('Your debts'!$F$15="",0,MIN(BA260,MAX(0,MAX(0,'Your debts'!$C$19-(G260+L260+Q260+V260+AA260+AF260+AK260+AP260+AU260+AZ260))-(IF(AND('Your debts'!$F$6&lt;&gt;"",'Your debts'!$F$15&lt;&gt;"",'Your debts'!$F$6&lt;'Your debts'!$F$15),H260,0)+IF(AND('Your debts'!$F$7&lt;&gt;"",'Your debts'!$F$15&lt;&gt;"",'Your debts'!$F$7&lt;'Your debts'!$F$15),M260,0)+IF(AND('Your debts'!$F$8&lt;&gt;"",'Your debts'!$F$15&lt;&gt;"",'Your debts'!$F$8&lt;'Your debts'!$F$15),R260,0)+IF(AND('Your debts'!$F$9&lt;&gt;"",'Your debts'!$F$15&lt;&gt;"",'Your debts'!$F$9&lt;'Your debts'!$F$15),W260,0)+IF(AND('Your debts'!$F$10&lt;&gt;"",'Your debts'!$F$15&lt;&gt;"",'Your debts'!$F$10&lt;'Your debts'!$F$15),AB260,0)+IF(AND('Your debts'!$F$11&lt;&gt;"",'Your debts'!$F$15&lt;&gt;"",'Your debts'!$F$11&lt;'Your debts'!$F$15),AG260,0)+IF(AND('Your debts'!$F$12&lt;&gt;"",'Your debts'!$F$15&lt;&gt;"",'Your debts'!$F$12&lt;'Your debts'!$F$15),AL260,0)+IF(AND('Your debts'!$F$13&lt;&gt;"",'Your debts'!$F$15&lt;&gt;"",'Your debts'!$F$13&lt;'Your debts'!$F$15),AQ260,0)+IF(AND('Your debts'!$F$14&lt;&gt;"",'Your debts'!$F$15&lt;&gt;"",'Your debts'!$F$14&lt;'Your debts'!$F$15),AV260,0)))))</f>
        <v/>
      </c>
      <c r="BC260" s="33">
        <f>BA260-BB260</f>
        <v/>
      </c>
    </row>
    <row r="261">
      <c r="A261" s="30" t="n">
        <v>246</v>
      </c>
      <c r="B261" s="31">
        <f>EDATE($B$15,246)</f>
        <v/>
      </c>
      <c r="C261" s="32">
        <f>IF(J260&lt;=0,0,F261-J260)+IF(O260&lt;=0,0,K261-O260)+IF(T260&lt;=0,0,P261-T260)+IF(Y260&lt;=0,0,U261-Y260)+IF(AD260&lt;=0,0,Z261-AD260)+IF(AI260&lt;=0,0,AE261-AI260)+IF(AN260&lt;=0,0,AJ261-AN260)+IF(AS260&lt;=0,0,AO261-AS260)+IF(AX260&lt;=0,0,AT261-AX260)+IF(BC260&lt;=0,0,AY261-BC260)</f>
        <v/>
      </c>
      <c r="D261" s="32">
        <f>G261+I261+L261+N261+Q261+S261+V261+X261+AA261+AC261+AF261+AH261+AK261+AM261+AP261+AR261+AU261+AW261+AZ261+BB261</f>
        <v/>
      </c>
      <c r="E261" s="32">
        <f>J261+O261+T261+Y261+AD261+AI261+AN261+AS261+AX261+BC261</f>
        <v/>
      </c>
      <c r="F261" s="33">
        <f>IF(J260&lt;=0,0,ROUND(J260*(1+'Your debts'!$D$6/1200),2))</f>
        <v/>
      </c>
      <c r="G261" s="33">
        <f>IF(F261&lt;=0,0,MIN('Your debts'!$E$6,F261))</f>
        <v/>
      </c>
      <c r="H261" s="33">
        <f>F261-G261</f>
        <v/>
      </c>
      <c r="I261" s="33">
        <f>IF('Your debts'!$F$6="",0,MIN(H261,MAX(0,MAX(0,'Your debts'!$C$19-(G261+L261+Q261+V261+AA261+AF261+AK261+AP261+AU261+AZ261))-(IF(AND('Your debts'!$F$7&lt;&gt;"",'Your debts'!$F$6&lt;&gt;"",'Your debts'!$F$7&lt;'Your debts'!$F$6),M261,0)+IF(AND('Your debts'!$F$8&lt;&gt;"",'Your debts'!$F$6&lt;&gt;"",'Your debts'!$F$8&lt;'Your debts'!$F$6),R261,0)+IF(AND('Your debts'!$F$9&lt;&gt;"",'Your debts'!$F$6&lt;&gt;"",'Your debts'!$F$9&lt;'Your debts'!$F$6),W261,0)+IF(AND('Your debts'!$F$10&lt;&gt;"",'Your debts'!$F$6&lt;&gt;"",'Your debts'!$F$10&lt;'Your debts'!$F$6),AB261,0)+IF(AND('Your debts'!$F$11&lt;&gt;"",'Your debts'!$F$6&lt;&gt;"",'Your debts'!$F$11&lt;'Your debts'!$F$6),AG261,0)+IF(AND('Your debts'!$F$12&lt;&gt;"",'Your debts'!$F$6&lt;&gt;"",'Your debts'!$F$12&lt;'Your debts'!$F$6),AL261,0)+IF(AND('Your debts'!$F$13&lt;&gt;"",'Your debts'!$F$6&lt;&gt;"",'Your debts'!$F$13&lt;'Your debts'!$F$6),AQ261,0)+IF(AND('Your debts'!$F$14&lt;&gt;"",'Your debts'!$F$6&lt;&gt;"",'Your debts'!$F$14&lt;'Your debts'!$F$6),AV261,0)+IF(AND('Your debts'!$F$15&lt;&gt;"",'Your debts'!$F$6&lt;&gt;"",'Your debts'!$F$15&lt;'Your debts'!$F$6),BA261,0)))))</f>
        <v/>
      </c>
      <c r="J261" s="33">
        <f>H261-I261</f>
        <v/>
      </c>
      <c r="K261" s="33">
        <f>IF(O260&lt;=0,0,ROUND(O260*(1+'Your debts'!$D$7/1200),2))</f>
        <v/>
      </c>
      <c r="L261" s="33">
        <f>IF(K261&lt;=0,0,MIN('Your debts'!$E$7,K261))</f>
        <v/>
      </c>
      <c r="M261" s="33">
        <f>K261-L261</f>
        <v/>
      </c>
      <c r="N261" s="33">
        <f>IF('Your debts'!$F$7="",0,MIN(M261,MAX(0,MAX(0,'Your debts'!$C$19-(G261+L261+Q261+V261+AA261+AF261+AK261+AP261+AU261+AZ261))-(IF(AND('Your debts'!$F$6&lt;&gt;"",'Your debts'!$F$7&lt;&gt;"",'Your debts'!$F$6&lt;'Your debts'!$F$7),H261,0)+IF(AND('Your debts'!$F$8&lt;&gt;"",'Your debts'!$F$7&lt;&gt;"",'Your debts'!$F$8&lt;'Your debts'!$F$7),R261,0)+IF(AND('Your debts'!$F$9&lt;&gt;"",'Your debts'!$F$7&lt;&gt;"",'Your debts'!$F$9&lt;'Your debts'!$F$7),W261,0)+IF(AND('Your debts'!$F$10&lt;&gt;"",'Your debts'!$F$7&lt;&gt;"",'Your debts'!$F$10&lt;'Your debts'!$F$7),AB261,0)+IF(AND('Your debts'!$F$11&lt;&gt;"",'Your debts'!$F$7&lt;&gt;"",'Your debts'!$F$11&lt;'Your debts'!$F$7),AG261,0)+IF(AND('Your debts'!$F$12&lt;&gt;"",'Your debts'!$F$7&lt;&gt;"",'Your debts'!$F$12&lt;'Your debts'!$F$7),AL261,0)+IF(AND('Your debts'!$F$13&lt;&gt;"",'Your debts'!$F$7&lt;&gt;"",'Your debts'!$F$13&lt;'Your debts'!$F$7),AQ261,0)+IF(AND('Your debts'!$F$14&lt;&gt;"",'Your debts'!$F$7&lt;&gt;"",'Your debts'!$F$14&lt;'Your debts'!$F$7),AV261,0)+IF(AND('Your debts'!$F$15&lt;&gt;"",'Your debts'!$F$7&lt;&gt;"",'Your debts'!$F$15&lt;'Your debts'!$F$7),BA261,0)))))</f>
        <v/>
      </c>
      <c r="O261" s="33">
        <f>M261-N261</f>
        <v/>
      </c>
      <c r="P261" s="33">
        <f>IF(T260&lt;=0,0,ROUND(T260*(1+'Your debts'!$D$8/1200),2))</f>
        <v/>
      </c>
      <c r="Q261" s="33">
        <f>IF(P261&lt;=0,0,MIN('Your debts'!$E$8,P261))</f>
        <v/>
      </c>
      <c r="R261" s="33">
        <f>P261-Q261</f>
        <v/>
      </c>
      <c r="S261" s="33">
        <f>IF('Your debts'!$F$8="",0,MIN(R261,MAX(0,MAX(0,'Your debts'!$C$19-(G261+L261+Q261+V261+AA261+AF261+AK261+AP261+AU261+AZ261))-(IF(AND('Your debts'!$F$6&lt;&gt;"",'Your debts'!$F$8&lt;&gt;"",'Your debts'!$F$6&lt;'Your debts'!$F$8),H261,0)+IF(AND('Your debts'!$F$7&lt;&gt;"",'Your debts'!$F$8&lt;&gt;"",'Your debts'!$F$7&lt;'Your debts'!$F$8),M261,0)+IF(AND('Your debts'!$F$9&lt;&gt;"",'Your debts'!$F$8&lt;&gt;"",'Your debts'!$F$9&lt;'Your debts'!$F$8),W261,0)+IF(AND('Your debts'!$F$10&lt;&gt;"",'Your debts'!$F$8&lt;&gt;"",'Your debts'!$F$10&lt;'Your debts'!$F$8),AB261,0)+IF(AND('Your debts'!$F$11&lt;&gt;"",'Your debts'!$F$8&lt;&gt;"",'Your debts'!$F$11&lt;'Your debts'!$F$8),AG261,0)+IF(AND('Your debts'!$F$12&lt;&gt;"",'Your debts'!$F$8&lt;&gt;"",'Your debts'!$F$12&lt;'Your debts'!$F$8),AL261,0)+IF(AND('Your debts'!$F$13&lt;&gt;"",'Your debts'!$F$8&lt;&gt;"",'Your debts'!$F$13&lt;'Your debts'!$F$8),AQ261,0)+IF(AND('Your debts'!$F$14&lt;&gt;"",'Your debts'!$F$8&lt;&gt;"",'Your debts'!$F$14&lt;'Your debts'!$F$8),AV261,0)+IF(AND('Your debts'!$F$15&lt;&gt;"",'Your debts'!$F$8&lt;&gt;"",'Your debts'!$F$15&lt;'Your debts'!$F$8),BA261,0)))))</f>
        <v/>
      </c>
      <c r="T261" s="33">
        <f>R261-S261</f>
        <v/>
      </c>
      <c r="U261" s="33">
        <f>IF(Y260&lt;=0,0,ROUND(Y260*(1+'Your debts'!$D$9/1200),2))</f>
        <v/>
      </c>
      <c r="V261" s="33">
        <f>IF(U261&lt;=0,0,MIN('Your debts'!$E$9,U261))</f>
        <v/>
      </c>
      <c r="W261" s="33">
        <f>U261-V261</f>
        <v/>
      </c>
      <c r="X261" s="33">
        <f>IF('Your debts'!$F$9="",0,MIN(W261,MAX(0,MAX(0,'Your debts'!$C$19-(G261+L261+Q261+V261+AA261+AF261+AK261+AP261+AU261+AZ261))-(IF(AND('Your debts'!$F$6&lt;&gt;"",'Your debts'!$F$9&lt;&gt;"",'Your debts'!$F$6&lt;'Your debts'!$F$9),H261,0)+IF(AND('Your debts'!$F$7&lt;&gt;"",'Your debts'!$F$9&lt;&gt;"",'Your debts'!$F$7&lt;'Your debts'!$F$9),M261,0)+IF(AND('Your debts'!$F$8&lt;&gt;"",'Your debts'!$F$9&lt;&gt;"",'Your debts'!$F$8&lt;'Your debts'!$F$9),R261,0)+IF(AND('Your debts'!$F$10&lt;&gt;"",'Your debts'!$F$9&lt;&gt;"",'Your debts'!$F$10&lt;'Your debts'!$F$9),AB261,0)+IF(AND('Your debts'!$F$11&lt;&gt;"",'Your debts'!$F$9&lt;&gt;"",'Your debts'!$F$11&lt;'Your debts'!$F$9),AG261,0)+IF(AND('Your debts'!$F$12&lt;&gt;"",'Your debts'!$F$9&lt;&gt;"",'Your debts'!$F$12&lt;'Your debts'!$F$9),AL261,0)+IF(AND('Your debts'!$F$13&lt;&gt;"",'Your debts'!$F$9&lt;&gt;"",'Your debts'!$F$13&lt;'Your debts'!$F$9),AQ261,0)+IF(AND('Your debts'!$F$14&lt;&gt;"",'Your debts'!$F$9&lt;&gt;"",'Your debts'!$F$14&lt;'Your debts'!$F$9),AV261,0)+IF(AND('Your debts'!$F$15&lt;&gt;"",'Your debts'!$F$9&lt;&gt;"",'Your debts'!$F$15&lt;'Your debts'!$F$9),BA261,0)))))</f>
        <v/>
      </c>
      <c r="Y261" s="33">
        <f>W261-X261</f>
        <v/>
      </c>
      <c r="Z261" s="33">
        <f>IF(AD260&lt;=0,0,ROUND(AD260*(1+'Your debts'!$D$10/1200),2))</f>
        <v/>
      </c>
      <c r="AA261" s="33">
        <f>IF(Z261&lt;=0,0,MIN('Your debts'!$E$10,Z261))</f>
        <v/>
      </c>
      <c r="AB261" s="33">
        <f>Z261-AA261</f>
        <v/>
      </c>
      <c r="AC261" s="33">
        <f>IF('Your debts'!$F$10="",0,MIN(AB261,MAX(0,MAX(0,'Your debts'!$C$19-(G261+L261+Q261+V261+AA261+AF261+AK261+AP261+AU261+AZ261))-(IF(AND('Your debts'!$F$6&lt;&gt;"",'Your debts'!$F$10&lt;&gt;"",'Your debts'!$F$6&lt;'Your debts'!$F$10),H261,0)+IF(AND('Your debts'!$F$7&lt;&gt;"",'Your debts'!$F$10&lt;&gt;"",'Your debts'!$F$7&lt;'Your debts'!$F$10),M261,0)+IF(AND('Your debts'!$F$8&lt;&gt;"",'Your debts'!$F$10&lt;&gt;"",'Your debts'!$F$8&lt;'Your debts'!$F$10),R261,0)+IF(AND('Your debts'!$F$9&lt;&gt;"",'Your debts'!$F$10&lt;&gt;"",'Your debts'!$F$9&lt;'Your debts'!$F$10),W261,0)+IF(AND('Your debts'!$F$11&lt;&gt;"",'Your debts'!$F$10&lt;&gt;"",'Your debts'!$F$11&lt;'Your debts'!$F$10),AG261,0)+IF(AND('Your debts'!$F$12&lt;&gt;"",'Your debts'!$F$10&lt;&gt;"",'Your debts'!$F$12&lt;'Your debts'!$F$10),AL261,0)+IF(AND('Your debts'!$F$13&lt;&gt;"",'Your debts'!$F$10&lt;&gt;"",'Your debts'!$F$13&lt;'Your debts'!$F$10),AQ261,0)+IF(AND('Your debts'!$F$14&lt;&gt;"",'Your debts'!$F$10&lt;&gt;"",'Your debts'!$F$14&lt;'Your debts'!$F$10),AV261,0)+IF(AND('Your debts'!$F$15&lt;&gt;"",'Your debts'!$F$10&lt;&gt;"",'Your debts'!$F$15&lt;'Your debts'!$F$10),BA261,0)))))</f>
        <v/>
      </c>
      <c r="AD261" s="33">
        <f>AB261-AC261</f>
        <v/>
      </c>
      <c r="AE261" s="33">
        <f>IF(AI260&lt;=0,0,ROUND(AI260*(1+'Your debts'!$D$11/1200),2))</f>
        <v/>
      </c>
      <c r="AF261" s="33">
        <f>IF(AE261&lt;=0,0,MIN('Your debts'!$E$11,AE261))</f>
        <v/>
      </c>
      <c r="AG261" s="33">
        <f>AE261-AF261</f>
        <v/>
      </c>
      <c r="AH261" s="33">
        <f>IF('Your debts'!$F$11="",0,MIN(AG261,MAX(0,MAX(0,'Your debts'!$C$19-(G261+L261+Q261+V261+AA261+AF261+AK261+AP261+AU261+AZ261))-(IF(AND('Your debts'!$F$6&lt;&gt;"",'Your debts'!$F$11&lt;&gt;"",'Your debts'!$F$6&lt;'Your debts'!$F$11),H261,0)+IF(AND('Your debts'!$F$7&lt;&gt;"",'Your debts'!$F$11&lt;&gt;"",'Your debts'!$F$7&lt;'Your debts'!$F$11),M261,0)+IF(AND('Your debts'!$F$8&lt;&gt;"",'Your debts'!$F$11&lt;&gt;"",'Your debts'!$F$8&lt;'Your debts'!$F$11),R261,0)+IF(AND('Your debts'!$F$9&lt;&gt;"",'Your debts'!$F$11&lt;&gt;"",'Your debts'!$F$9&lt;'Your debts'!$F$11),W261,0)+IF(AND('Your debts'!$F$10&lt;&gt;"",'Your debts'!$F$11&lt;&gt;"",'Your debts'!$F$10&lt;'Your debts'!$F$11),AB261,0)+IF(AND('Your debts'!$F$12&lt;&gt;"",'Your debts'!$F$11&lt;&gt;"",'Your debts'!$F$12&lt;'Your debts'!$F$11),AL261,0)+IF(AND('Your debts'!$F$13&lt;&gt;"",'Your debts'!$F$11&lt;&gt;"",'Your debts'!$F$13&lt;'Your debts'!$F$11),AQ261,0)+IF(AND('Your debts'!$F$14&lt;&gt;"",'Your debts'!$F$11&lt;&gt;"",'Your debts'!$F$14&lt;'Your debts'!$F$11),AV261,0)+IF(AND('Your debts'!$F$15&lt;&gt;"",'Your debts'!$F$11&lt;&gt;"",'Your debts'!$F$15&lt;'Your debts'!$F$11),BA261,0)))))</f>
        <v/>
      </c>
      <c r="AI261" s="33">
        <f>AG261-AH261</f>
        <v/>
      </c>
      <c r="AJ261" s="33">
        <f>IF(AN260&lt;=0,0,ROUND(AN260*(1+'Your debts'!$D$12/1200),2))</f>
        <v/>
      </c>
      <c r="AK261" s="33">
        <f>IF(AJ261&lt;=0,0,MIN('Your debts'!$E$12,AJ261))</f>
        <v/>
      </c>
      <c r="AL261" s="33">
        <f>AJ261-AK261</f>
        <v/>
      </c>
      <c r="AM261" s="33">
        <f>IF('Your debts'!$F$12="",0,MIN(AL261,MAX(0,MAX(0,'Your debts'!$C$19-(G261+L261+Q261+V261+AA261+AF261+AK261+AP261+AU261+AZ261))-(IF(AND('Your debts'!$F$6&lt;&gt;"",'Your debts'!$F$12&lt;&gt;"",'Your debts'!$F$6&lt;'Your debts'!$F$12),H261,0)+IF(AND('Your debts'!$F$7&lt;&gt;"",'Your debts'!$F$12&lt;&gt;"",'Your debts'!$F$7&lt;'Your debts'!$F$12),M261,0)+IF(AND('Your debts'!$F$8&lt;&gt;"",'Your debts'!$F$12&lt;&gt;"",'Your debts'!$F$8&lt;'Your debts'!$F$12),R261,0)+IF(AND('Your debts'!$F$9&lt;&gt;"",'Your debts'!$F$12&lt;&gt;"",'Your debts'!$F$9&lt;'Your debts'!$F$12),W261,0)+IF(AND('Your debts'!$F$10&lt;&gt;"",'Your debts'!$F$12&lt;&gt;"",'Your debts'!$F$10&lt;'Your debts'!$F$12),AB261,0)+IF(AND('Your debts'!$F$11&lt;&gt;"",'Your debts'!$F$12&lt;&gt;"",'Your debts'!$F$11&lt;'Your debts'!$F$12),AG261,0)+IF(AND('Your debts'!$F$13&lt;&gt;"",'Your debts'!$F$12&lt;&gt;"",'Your debts'!$F$13&lt;'Your debts'!$F$12),AQ261,0)+IF(AND('Your debts'!$F$14&lt;&gt;"",'Your debts'!$F$12&lt;&gt;"",'Your debts'!$F$14&lt;'Your debts'!$F$12),AV261,0)+IF(AND('Your debts'!$F$15&lt;&gt;"",'Your debts'!$F$12&lt;&gt;"",'Your debts'!$F$15&lt;'Your debts'!$F$12),BA261,0)))))</f>
        <v/>
      </c>
      <c r="AN261" s="33">
        <f>AL261-AM261</f>
        <v/>
      </c>
      <c r="AO261" s="33">
        <f>IF(AS260&lt;=0,0,ROUND(AS260*(1+'Your debts'!$D$13/1200),2))</f>
        <v/>
      </c>
      <c r="AP261" s="33">
        <f>IF(AO261&lt;=0,0,MIN('Your debts'!$E$13,AO261))</f>
        <v/>
      </c>
      <c r="AQ261" s="33">
        <f>AO261-AP261</f>
        <v/>
      </c>
      <c r="AR261" s="33">
        <f>IF('Your debts'!$F$13="",0,MIN(AQ261,MAX(0,MAX(0,'Your debts'!$C$19-(G261+L261+Q261+V261+AA261+AF261+AK261+AP261+AU261+AZ261))-(IF(AND('Your debts'!$F$6&lt;&gt;"",'Your debts'!$F$13&lt;&gt;"",'Your debts'!$F$6&lt;'Your debts'!$F$13),H261,0)+IF(AND('Your debts'!$F$7&lt;&gt;"",'Your debts'!$F$13&lt;&gt;"",'Your debts'!$F$7&lt;'Your debts'!$F$13),M261,0)+IF(AND('Your debts'!$F$8&lt;&gt;"",'Your debts'!$F$13&lt;&gt;"",'Your debts'!$F$8&lt;'Your debts'!$F$13),R261,0)+IF(AND('Your debts'!$F$9&lt;&gt;"",'Your debts'!$F$13&lt;&gt;"",'Your debts'!$F$9&lt;'Your debts'!$F$13),W261,0)+IF(AND('Your debts'!$F$10&lt;&gt;"",'Your debts'!$F$13&lt;&gt;"",'Your debts'!$F$10&lt;'Your debts'!$F$13),AB261,0)+IF(AND('Your debts'!$F$11&lt;&gt;"",'Your debts'!$F$13&lt;&gt;"",'Your debts'!$F$11&lt;'Your debts'!$F$13),AG261,0)+IF(AND('Your debts'!$F$12&lt;&gt;"",'Your debts'!$F$13&lt;&gt;"",'Your debts'!$F$12&lt;'Your debts'!$F$13),AL261,0)+IF(AND('Your debts'!$F$14&lt;&gt;"",'Your debts'!$F$13&lt;&gt;"",'Your debts'!$F$14&lt;'Your debts'!$F$13),AV261,0)+IF(AND('Your debts'!$F$15&lt;&gt;"",'Your debts'!$F$13&lt;&gt;"",'Your debts'!$F$15&lt;'Your debts'!$F$13),BA261,0)))))</f>
        <v/>
      </c>
      <c r="AS261" s="33">
        <f>AQ261-AR261</f>
        <v/>
      </c>
      <c r="AT261" s="33">
        <f>IF(AX260&lt;=0,0,ROUND(AX260*(1+'Your debts'!$D$14/1200),2))</f>
        <v/>
      </c>
      <c r="AU261" s="33">
        <f>IF(AT261&lt;=0,0,MIN('Your debts'!$E$14,AT261))</f>
        <v/>
      </c>
      <c r="AV261" s="33">
        <f>AT261-AU261</f>
        <v/>
      </c>
      <c r="AW261" s="33">
        <f>IF('Your debts'!$F$14="",0,MIN(AV261,MAX(0,MAX(0,'Your debts'!$C$19-(G261+L261+Q261+V261+AA261+AF261+AK261+AP261+AU261+AZ261))-(IF(AND('Your debts'!$F$6&lt;&gt;"",'Your debts'!$F$14&lt;&gt;"",'Your debts'!$F$6&lt;'Your debts'!$F$14),H261,0)+IF(AND('Your debts'!$F$7&lt;&gt;"",'Your debts'!$F$14&lt;&gt;"",'Your debts'!$F$7&lt;'Your debts'!$F$14),M261,0)+IF(AND('Your debts'!$F$8&lt;&gt;"",'Your debts'!$F$14&lt;&gt;"",'Your debts'!$F$8&lt;'Your debts'!$F$14),R261,0)+IF(AND('Your debts'!$F$9&lt;&gt;"",'Your debts'!$F$14&lt;&gt;"",'Your debts'!$F$9&lt;'Your debts'!$F$14),W261,0)+IF(AND('Your debts'!$F$10&lt;&gt;"",'Your debts'!$F$14&lt;&gt;"",'Your debts'!$F$10&lt;'Your debts'!$F$14),AB261,0)+IF(AND('Your debts'!$F$11&lt;&gt;"",'Your debts'!$F$14&lt;&gt;"",'Your debts'!$F$11&lt;'Your debts'!$F$14),AG261,0)+IF(AND('Your debts'!$F$12&lt;&gt;"",'Your debts'!$F$14&lt;&gt;"",'Your debts'!$F$12&lt;'Your debts'!$F$14),AL261,0)+IF(AND('Your debts'!$F$13&lt;&gt;"",'Your debts'!$F$14&lt;&gt;"",'Your debts'!$F$13&lt;'Your debts'!$F$14),AQ261,0)+IF(AND('Your debts'!$F$15&lt;&gt;"",'Your debts'!$F$14&lt;&gt;"",'Your debts'!$F$15&lt;'Your debts'!$F$14),BA261,0)))))</f>
        <v/>
      </c>
      <c r="AX261" s="33">
        <f>AV261-AW261</f>
        <v/>
      </c>
      <c r="AY261" s="33">
        <f>IF(BC260&lt;=0,0,ROUND(BC260*(1+'Your debts'!$D$15/1200),2))</f>
        <v/>
      </c>
      <c r="AZ261" s="33">
        <f>IF(AY261&lt;=0,0,MIN('Your debts'!$E$15,AY261))</f>
        <v/>
      </c>
      <c r="BA261" s="33">
        <f>AY261-AZ261</f>
        <v/>
      </c>
      <c r="BB261" s="33">
        <f>IF('Your debts'!$F$15="",0,MIN(BA261,MAX(0,MAX(0,'Your debts'!$C$19-(G261+L261+Q261+V261+AA261+AF261+AK261+AP261+AU261+AZ261))-(IF(AND('Your debts'!$F$6&lt;&gt;"",'Your debts'!$F$15&lt;&gt;"",'Your debts'!$F$6&lt;'Your debts'!$F$15),H261,0)+IF(AND('Your debts'!$F$7&lt;&gt;"",'Your debts'!$F$15&lt;&gt;"",'Your debts'!$F$7&lt;'Your debts'!$F$15),M261,0)+IF(AND('Your debts'!$F$8&lt;&gt;"",'Your debts'!$F$15&lt;&gt;"",'Your debts'!$F$8&lt;'Your debts'!$F$15),R261,0)+IF(AND('Your debts'!$F$9&lt;&gt;"",'Your debts'!$F$15&lt;&gt;"",'Your debts'!$F$9&lt;'Your debts'!$F$15),W261,0)+IF(AND('Your debts'!$F$10&lt;&gt;"",'Your debts'!$F$15&lt;&gt;"",'Your debts'!$F$10&lt;'Your debts'!$F$15),AB261,0)+IF(AND('Your debts'!$F$11&lt;&gt;"",'Your debts'!$F$15&lt;&gt;"",'Your debts'!$F$11&lt;'Your debts'!$F$15),AG261,0)+IF(AND('Your debts'!$F$12&lt;&gt;"",'Your debts'!$F$15&lt;&gt;"",'Your debts'!$F$12&lt;'Your debts'!$F$15),AL261,0)+IF(AND('Your debts'!$F$13&lt;&gt;"",'Your debts'!$F$15&lt;&gt;"",'Your debts'!$F$13&lt;'Your debts'!$F$15),AQ261,0)+IF(AND('Your debts'!$F$14&lt;&gt;"",'Your debts'!$F$15&lt;&gt;"",'Your debts'!$F$14&lt;'Your debts'!$F$15),AV261,0)))))</f>
        <v/>
      </c>
      <c r="BC261" s="33">
        <f>BA261-BB261</f>
        <v/>
      </c>
    </row>
    <row r="262">
      <c r="A262" s="30" t="n">
        <v>247</v>
      </c>
      <c r="B262" s="31">
        <f>EDATE($B$15,247)</f>
        <v/>
      </c>
      <c r="C262" s="32">
        <f>IF(J261&lt;=0,0,F262-J261)+IF(O261&lt;=0,0,K262-O261)+IF(T261&lt;=0,0,P262-T261)+IF(Y261&lt;=0,0,U262-Y261)+IF(AD261&lt;=0,0,Z262-AD261)+IF(AI261&lt;=0,0,AE262-AI261)+IF(AN261&lt;=0,0,AJ262-AN261)+IF(AS261&lt;=0,0,AO262-AS261)+IF(AX261&lt;=0,0,AT262-AX261)+IF(BC261&lt;=0,0,AY262-BC261)</f>
        <v/>
      </c>
      <c r="D262" s="32">
        <f>G262+I262+L262+N262+Q262+S262+V262+X262+AA262+AC262+AF262+AH262+AK262+AM262+AP262+AR262+AU262+AW262+AZ262+BB262</f>
        <v/>
      </c>
      <c r="E262" s="32">
        <f>J262+O262+T262+Y262+AD262+AI262+AN262+AS262+AX262+BC262</f>
        <v/>
      </c>
      <c r="F262" s="33">
        <f>IF(J261&lt;=0,0,ROUND(J261*(1+'Your debts'!$D$6/1200),2))</f>
        <v/>
      </c>
      <c r="G262" s="33">
        <f>IF(F262&lt;=0,0,MIN('Your debts'!$E$6,F262))</f>
        <v/>
      </c>
      <c r="H262" s="33">
        <f>F262-G262</f>
        <v/>
      </c>
      <c r="I262" s="33">
        <f>IF('Your debts'!$F$6="",0,MIN(H262,MAX(0,MAX(0,'Your debts'!$C$19-(G262+L262+Q262+V262+AA262+AF262+AK262+AP262+AU262+AZ262))-(IF(AND('Your debts'!$F$7&lt;&gt;"",'Your debts'!$F$6&lt;&gt;"",'Your debts'!$F$7&lt;'Your debts'!$F$6),M262,0)+IF(AND('Your debts'!$F$8&lt;&gt;"",'Your debts'!$F$6&lt;&gt;"",'Your debts'!$F$8&lt;'Your debts'!$F$6),R262,0)+IF(AND('Your debts'!$F$9&lt;&gt;"",'Your debts'!$F$6&lt;&gt;"",'Your debts'!$F$9&lt;'Your debts'!$F$6),W262,0)+IF(AND('Your debts'!$F$10&lt;&gt;"",'Your debts'!$F$6&lt;&gt;"",'Your debts'!$F$10&lt;'Your debts'!$F$6),AB262,0)+IF(AND('Your debts'!$F$11&lt;&gt;"",'Your debts'!$F$6&lt;&gt;"",'Your debts'!$F$11&lt;'Your debts'!$F$6),AG262,0)+IF(AND('Your debts'!$F$12&lt;&gt;"",'Your debts'!$F$6&lt;&gt;"",'Your debts'!$F$12&lt;'Your debts'!$F$6),AL262,0)+IF(AND('Your debts'!$F$13&lt;&gt;"",'Your debts'!$F$6&lt;&gt;"",'Your debts'!$F$13&lt;'Your debts'!$F$6),AQ262,0)+IF(AND('Your debts'!$F$14&lt;&gt;"",'Your debts'!$F$6&lt;&gt;"",'Your debts'!$F$14&lt;'Your debts'!$F$6),AV262,0)+IF(AND('Your debts'!$F$15&lt;&gt;"",'Your debts'!$F$6&lt;&gt;"",'Your debts'!$F$15&lt;'Your debts'!$F$6),BA262,0)))))</f>
        <v/>
      </c>
      <c r="J262" s="33">
        <f>H262-I262</f>
        <v/>
      </c>
      <c r="K262" s="33">
        <f>IF(O261&lt;=0,0,ROUND(O261*(1+'Your debts'!$D$7/1200),2))</f>
        <v/>
      </c>
      <c r="L262" s="33">
        <f>IF(K262&lt;=0,0,MIN('Your debts'!$E$7,K262))</f>
        <v/>
      </c>
      <c r="M262" s="33">
        <f>K262-L262</f>
        <v/>
      </c>
      <c r="N262" s="33">
        <f>IF('Your debts'!$F$7="",0,MIN(M262,MAX(0,MAX(0,'Your debts'!$C$19-(G262+L262+Q262+V262+AA262+AF262+AK262+AP262+AU262+AZ262))-(IF(AND('Your debts'!$F$6&lt;&gt;"",'Your debts'!$F$7&lt;&gt;"",'Your debts'!$F$6&lt;'Your debts'!$F$7),H262,0)+IF(AND('Your debts'!$F$8&lt;&gt;"",'Your debts'!$F$7&lt;&gt;"",'Your debts'!$F$8&lt;'Your debts'!$F$7),R262,0)+IF(AND('Your debts'!$F$9&lt;&gt;"",'Your debts'!$F$7&lt;&gt;"",'Your debts'!$F$9&lt;'Your debts'!$F$7),W262,0)+IF(AND('Your debts'!$F$10&lt;&gt;"",'Your debts'!$F$7&lt;&gt;"",'Your debts'!$F$10&lt;'Your debts'!$F$7),AB262,0)+IF(AND('Your debts'!$F$11&lt;&gt;"",'Your debts'!$F$7&lt;&gt;"",'Your debts'!$F$11&lt;'Your debts'!$F$7),AG262,0)+IF(AND('Your debts'!$F$12&lt;&gt;"",'Your debts'!$F$7&lt;&gt;"",'Your debts'!$F$12&lt;'Your debts'!$F$7),AL262,0)+IF(AND('Your debts'!$F$13&lt;&gt;"",'Your debts'!$F$7&lt;&gt;"",'Your debts'!$F$13&lt;'Your debts'!$F$7),AQ262,0)+IF(AND('Your debts'!$F$14&lt;&gt;"",'Your debts'!$F$7&lt;&gt;"",'Your debts'!$F$14&lt;'Your debts'!$F$7),AV262,0)+IF(AND('Your debts'!$F$15&lt;&gt;"",'Your debts'!$F$7&lt;&gt;"",'Your debts'!$F$15&lt;'Your debts'!$F$7),BA262,0)))))</f>
        <v/>
      </c>
      <c r="O262" s="33">
        <f>M262-N262</f>
        <v/>
      </c>
      <c r="P262" s="33">
        <f>IF(T261&lt;=0,0,ROUND(T261*(1+'Your debts'!$D$8/1200),2))</f>
        <v/>
      </c>
      <c r="Q262" s="33">
        <f>IF(P262&lt;=0,0,MIN('Your debts'!$E$8,P262))</f>
        <v/>
      </c>
      <c r="R262" s="33">
        <f>P262-Q262</f>
        <v/>
      </c>
      <c r="S262" s="33">
        <f>IF('Your debts'!$F$8="",0,MIN(R262,MAX(0,MAX(0,'Your debts'!$C$19-(G262+L262+Q262+V262+AA262+AF262+AK262+AP262+AU262+AZ262))-(IF(AND('Your debts'!$F$6&lt;&gt;"",'Your debts'!$F$8&lt;&gt;"",'Your debts'!$F$6&lt;'Your debts'!$F$8),H262,0)+IF(AND('Your debts'!$F$7&lt;&gt;"",'Your debts'!$F$8&lt;&gt;"",'Your debts'!$F$7&lt;'Your debts'!$F$8),M262,0)+IF(AND('Your debts'!$F$9&lt;&gt;"",'Your debts'!$F$8&lt;&gt;"",'Your debts'!$F$9&lt;'Your debts'!$F$8),W262,0)+IF(AND('Your debts'!$F$10&lt;&gt;"",'Your debts'!$F$8&lt;&gt;"",'Your debts'!$F$10&lt;'Your debts'!$F$8),AB262,0)+IF(AND('Your debts'!$F$11&lt;&gt;"",'Your debts'!$F$8&lt;&gt;"",'Your debts'!$F$11&lt;'Your debts'!$F$8),AG262,0)+IF(AND('Your debts'!$F$12&lt;&gt;"",'Your debts'!$F$8&lt;&gt;"",'Your debts'!$F$12&lt;'Your debts'!$F$8),AL262,0)+IF(AND('Your debts'!$F$13&lt;&gt;"",'Your debts'!$F$8&lt;&gt;"",'Your debts'!$F$13&lt;'Your debts'!$F$8),AQ262,0)+IF(AND('Your debts'!$F$14&lt;&gt;"",'Your debts'!$F$8&lt;&gt;"",'Your debts'!$F$14&lt;'Your debts'!$F$8),AV262,0)+IF(AND('Your debts'!$F$15&lt;&gt;"",'Your debts'!$F$8&lt;&gt;"",'Your debts'!$F$15&lt;'Your debts'!$F$8),BA262,0)))))</f>
        <v/>
      </c>
      <c r="T262" s="33">
        <f>R262-S262</f>
        <v/>
      </c>
      <c r="U262" s="33">
        <f>IF(Y261&lt;=0,0,ROUND(Y261*(1+'Your debts'!$D$9/1200),2))</f>
        <v/>
      </c>
      <c r="V262" s="33">
        <f>IF(U262&lt;=0,0,MIN('Your debts'!$E$9,U262))</f>
        <v/>
      </c>
      <c r="W262" s="33">
        <f>U262-V262</f>
        <v/>
      </c>
      <c r="X262" s="33">
        <f>IF('Your debts'!$F$9="",0,MIN(W262,MAX(0,MAX(0,'Your debts'!$C$19-(G262+L262+Q262+V262+AA262+AF262+AK262+AP262+AU262+AZ262))-(IF(AND('Your debts'!$F$6&lt;&gt;"",'Your debts'!$F$9&lt;&gt;"",'Your debts'!$F$6&lt;'Your debts'!$F$9),H262,0)+IF(AND('Your debts'!$F$7&lt;&gt;"",'Your debts'!$F$9&lt;&gt;"",'Your debts'!$F$7&lt;'Your debts'!$F$9),M262,0)+IF(AND('Your debts'!$F$8&lt;&gt;"",'Your debts'!$F$9&lt;&gt;"",'Your debts'!$F$8&lt;'Your debts'!$F$9),R262,0)+IF(AND('Your debts'!$F$10&lt;&gt;"",'Your debts'!$F$9&lt;&gt;"",'Your debts'!$F$10&lt;'Your debts'!$F$9),AB262,0)+IF(AND('Your debts'!$F$11&lt;&gt;"",'Your debts'!$F$9&lt;&gt;"",'Your debts'!$F$11&lt;'Your debts'!$F$9),AG262,0)+IF(AND('Your debts'!$F$12&lt;&gt;"",'Your debts'!$F$9&lt;&gt;"",'Your debts'!$F$12&lt;'Your debts'!$F$9),AL262,0)+IF(AND('Your debts'!$F$13&lt;&gt;"",'Your debts'!$F$9&lt;&gt;"",'Your debts'!$F$13&lt;'Your debts'!$F$9),AQ262,0)+IF(AND('Your debts'!$F$14&lt;&gt;"",'Your debts'!$F$9&lt;&gt;"",'Your debts'!$F$14&lt;'Your debts'!$F$9),AV262,0)+IF(AND('Your debts'!$F$15&lt;&gt;"",'Your debts'!$F$9&lt;&gt;"",'Your debts'!$F$15&lt;'Your debts'!$F$9),BA262,0)))))</f>
        <v/>
      </c>
      <c r="Y262" s="33">
        <f>W262-X262</f>
        <v/>
      </c>
      <c r="Z262" s="33">
        <f>IF(AD261&lt;=0,0,ROUND(AD261*(1+'Your debts'!$D$10/1200),2))</f>
        <v/>
      </c>
      <c r="AA262" s="33">
        <f>IF(Z262&lt;=0,0,MIN('Your debts'!$E$10,Z262))</f>
        <v/>
      </c>
      <c r="AB262" s="33">
        <f>Z262-AA262</f>
        <v/>
      </c>
      <c r="AC262" s="33">
        <f>IF('Your debts'!$F$10="",0,MIN(AB262,MAX(0,MAX(0,'Your debts'!$C$19-(G262+L262+Q262+V262+AA262+AF262+AK262+AP262+AU262+AZ262))-(IF(AND('Your debts'!$F$6&lt;&gt;"",'Your debts'!$F$10&lt;&gt;"",'Your debts'!$F$6&lt;'Your debts'!$F$10),H262,0)+IF(AND('Your debts'!$F$7&lt;&gt;"",'Your debts'!$F$10&lt;&gt;"",'Your debts'!$F$7&lt;'Your debts'!$F$10),M262,0)+IF(AND('Your debts'!$F$8&lt;&gt;"",'Your debts'!$F$10&lt;&gt;"",'Your debts'!$F$8&lt;'Your debts'!$F$10),R262,0)+IF(AND('Your debts'!$F$9&lt;&gt;"",'Your debts'!$F$10&lt;&gt;"",'Your debts'!$F$9&lt;'Your debts'!$F$10),W262,0)+IF(AND('Your debts'!$F$11&lt;&gt;"",'Your debts'!$F$10&lt;&gt;"",'Your debts'!$F$11&lt;'Your debts'!$F$10),AG262,0)+IF(AND('Your debts'!$F$12&lt;&gt;"",'Your debts'!$F$10&lt;&gt;"",'Your debts'!$F$12&lt;'Your debts'!$F$10),AL262,0)+IF(AND('Your debts'!$F$13&lt;&gt;"",'Your debts'!$F$10&lt;&gt;"",'Your debts'!$F$13&lt;'Your debts'!$F$10),AQ262,0)+IF(AND('Your debts'!$F$14&lt;&gt;"",'Your debts'!$F$10&lt;&gt;"",'Your debts'!$F$14&lt;'Your debts'!$F$10),AV262,0)+IF(AND('Your debts'!$F$15&lt;&gt;"",'Your debts'!$F$10&lt;&gt;"",'Your debts'!$F$15&lt;'Your debts'!$F$10),BA262,0)))))</f>
        <v/>
      </c>
      <c r="AD262" s="33">
        <f>AB262-AC262</f>
        <v/>
      </c>
      <c r="AE262" s="33">
        <f>IF(AI261&lt;=0,0,ROUND(AI261*(1+'Your debts'!$D$11/1200),2))</f>
        <v/>
      </c>
      <c r="AF262" s="33">
        <f>IF(AE262&lt;=0,0,MIN('Your debts'!$E$11,AE262))</f>
        <v/>
      </c>
      <c r="AG262" s="33">
        <f>AE262-AF262</f>
        <v/>
      </c>
      <c r="AH262" s="33">
        <f>IF('Your debts'!$F$11="",0,MIN(AG262,MAX(0,MAX(0,'Your debts'!$C$19-(G262+L262+Q262+V262+AA262+AF262+AK262+AP262+AU262+AZ262))-(IF(AND('Your debts'!$F$6&lt;&gt;"",'Your debts'!$F$11&lt;&gt;"",'Your debts'!$F$6&lt;'Your debts'!$F$11),H262,0)+IF(AND('Your debts'!$F$7&lt;&gt;"",'Your debts'!$F$11&lt;&gt;"",'Your debts'!$F$7&lt;'Your debts'!$F$11),M262,0)+IF(AND('Your debts'!$F$8&lt;&gt;"",'Your debts'!$F$11&lt;&gt;"",'Your debts'!$F$8&lt;'Your debts'!$F$11),R262,0)+IF(AND('Your debts'!$F$9&lt;&gt;"",'Your debts'!$F$11&lt;&gt;"",'Your debts'!$F$9&lt;'Your debts'!$F$11),W262,0)+IF(AND('Your debts'!$F$10&lt;&gt;"",'Your debts'!$F$11&lt;&gt;"",'Your debts'!$F$10&lt;'Your debts'!$F$11),AB262,0)+IF(AND('Your debts'!$F$12&lt;&gt;"",'Your debts'!$F$11&lt;&gt;"",'Your debts'!$F$12&lt;'Your debts'!$F$11),AL262,0)+IF(AND('Your debts'!$F$13&lt;&gt;"",'Your debts'!$F$11&lt;&gt;"",'Your debts'!$F$13&lt;'Your debts'!$F$11),AQ262,0)+IF(AND('Your debts'!$F$14&lt;&gt;"",'Your debts'!$F$11&lt;&gt;"",'Your debts'!$F$14&lt;'Your debts'!$F$11),AV262,0)+IF(AND('Your debts'!$F$15&lt;&gt;"",'Your debts'!$F$11&lt;&gt;"",'Your debts'!$F$15&lt;'Your debts'!$F$11),BA262,0)))))</f>
        <v/>
      </c>
      <c r="AI262" s="33">
        <f>AG262-AH262</f>
        <v/>
      </c>
      <c r="AJ262" s="33">
        <f>IF(AN261&lt;=0,0,ROUND(AN261*(1+'Your debts'!$D$12/1200),2))</f>
        <v/>
      </c>
      <c r="AK262" s="33">
        <f>IF(AJ262&lt;=0,0,MIN('Your debts'!$E$12,AJ262))</f>
        <v/>
      </c>
      <c r="AL262" s="33">
        <f>AJ262-AK262</f>
        <v/>
      </c>
      <c r="AM262" s="33">
        <f>IF('Your debts'!$F$12="",0,MIN(AL262,MAX(0,MAX(0,'Your debts'!$C$19-(G262+L262+Q262+V262+AA262+AF262+AK262+AP262+AU262+AZ262))-(IF(AND('Your debts'!$F$6&lt;&gt;"",'Your debts'!$F$12&lt;&gt;"",'Your debts'!$F$6&lt;'Your debts'!$F$12),H262,0)+IF(AND('Your debts'!$F$7&lt;&gt;"",'Your debts'!$F$12&lt;&gt;"",'Your debts'!$F$7&lt;'Your debts'!$F$12),M262,0)+IF(AND('Your debts'!$F$8&lt;&gt;"",'Your debts'!$F$12&lt;&gt;"",'Your debts'!$F$8&lt;'Your debts'!$F$12),R262,0)+IF(AND('Your debts'!$F$9&lt;&gt;"",'Your debts'!$F$12&lt;&gt;"",'Your debts'!$F$9&lt;'Your debts'!$F$12),W262,0)+IF(AND('Your debts'!$F$10&lt;&gt;"",'Your debts'!$F$12&lt;&gt;"",'Your debts'!$F$10&lt;'Your debts'!$F$12),AB262,0)+IF(AND('Your debts'!$F$11&lt;&gt;"",'Your debts'!$F$12&lt;&gt;"",'Your debts'!$F$11&lt;'Your debts'!$F$12),AG262,0)+IF(AND('Your debts'!$F$13&lt;&gt;"",'Your debts'!$F$12&lt;&gt;"",'Your debts'!$F$13&lt;'Your debts'!$F$12),AQ262,0)+IF(AND('Your debts'!$F$14&lt;&gt;"",'Your debts'!$F$12&lt;&gt;"",'Your debts'!$F$14&lt;'Your debts'!$F$12),AV262,0)+IF(AND('Your debts'!$F$15&lt;&gt;"",'Your debts'!$F$12&lt;&gt;"",'Your debts'!$F$15&lt;'Your debts'!$F$12),BA262,0)))))</f>
        <v/>
      </c>
      <c r="AN262" s="33">
        <f>AL262-AM262</f>
        <v/>
      </c>
      <c r="AO262" s="33">
        <f>IF(AS261&lt;=0,0,ROUND(AS261*(1+'Your debts'!$D$13/1200),2))</f>
        <v/>
      </c>
      <c r="AP262" s="33">
        <f>IF(AO262&lt;=0,0,MIN('Your debts'!$E$13,AO262))</f>
        <v/>
      </c>
      <c r="AQ262" s="33">
        <f>AO262-AP262</f>
        <v/>
      </c>
      <c r="AR262" s="33">
        <f>IF('Your debts'!$F$13="",0,MIN(AQ262,MAX(0,MAX(0,'Your debts'!$C$19-(G262+L262+Q262+V262+AA262+AF262+AK262+AP262+AU262+AZ262))-(IF(AND('Your debts'!$F$6&lt;&gt;"",'Your debts'!$F$13&lt;&gt;"",'Your debts'!$F$6&lt;'Your debts'!$F$13),H262,0)+IF(AND('Your debts'!$F$7&lt;&gt;"",'Your debts'!$F$13&lt;&gt;"",'Your debts'!$F$7&lt;'Your debts'!$F$13),M262,0)+IF(AND('Your debts'!$F$8&lt;&gt;"",'Your debts'!$F$13&lt;&gt;"",'Your debts'!$F$8&lt;'Your debts'!$F$13),R262,0)+IF(AND('Your debts'!$F$9&lt;&gt;"",'Your debts'!$F$13&lt;&gt;"",'Your debts'!$F$9&lt;'Your debts'!$F$13),W262,0)+IF(AND('Your debts'!$F$10&lt;&gt;"",'Your debts'!$F$13&lt;&gt;"",'Your debts'!$F$10&lt;'Your debts'!$F$13),AB262,0)+IF(AND('Your debts'!$F$11&lt;&gt;"",'Your debts'!$F$13&lt;&gt;"",'Your debts'!$F$11&lt;'Your debts'!$F$13),AG262,0)+IF(AND('Your debts'!$F$12&lt;&gt;"",'Your debts'!$F$13&lt;&gt;"",'Your debts'!$F$12&lt;'Your debts'!$F$13),AL262,0)+IF(AND('Your debts'!$F$14&lt;&gt;"",'Your debts'!$F$13&lt;&gt;"",'Your debts'!$F$14&lt;'Your debts'!$F$13),AV262,0)+IF(AND('Your debts'!$F$15&lt;&gt;"",'Your debts'!$F$13&lt;&gt;"",'Your debts'!$F$15&lt;'Your debts'!$F$13),BA262,0)))))</f>
        <v/>
      </c>
      <c r="AS262" s="33">
        <f>AQ262-AR262</f>
        <v/>
      </c>
      <c r="AT262" s="33">
        <f>IF(AX261&lt;=0,0,ROUND(AX261*(1+'Your debts'!$D$14/1200),2))</f>
        <v/>
      </c>
      <c r="AU262" s="33">
        <f>IF(AT262&lt;=0,0,MIN('Your debts'!$E$14,AT262))</f>
        <v/>
      </c>
      <c r="AV262" s="33">
        <f>AT262-AU262</f>
        <v/>
      </c>
      <c r="AW262" s="33">
        <f>IF('Your debts'!$F$14="",0,MIN(AV262,MAX(0,MAX(0,'Your debts'!$C$19-(G262+L262+Q262+V262+AA262+AF262+AK262+AP262+AU262+AZ262))-(IF(AND('Your debts'!$F$6&lt;&gt;"",'Your debts'!$F$14&lt;&gt;"",'Your debts'!$F$6&lt;'Your debts'!$F$14),H262,0)+IF(AND('Your debts'!$F$7&lt;&gt;"",'Your debts'!$F$14&lt;&gt;"",'Your debts'!$F$7&lt;'Your debts'!$F$14),M262,0)+IF(AND('Your debts'!$F$8&lt;&gt;"",'Your debts'!$F$14&lt;&gt;"",'Your debts'!$F$8&lt;'Your debts'!$F$14),R262,0)+IF(AND('Your debts'!$F$9&lt;&gt;"",'Your debts'!$F$14&lt;&gt;"",'Your debts'!$F$9&lt;'Your debts'!$F$14),W262,0)+IF(AND('Your debts'!$F$10&lt;&gt;"",'Your debts'!$F$14&lt;&gt;"",'Your debts'!$F$10&lt;'Your debts'!$F$14),AB262,0)+IF(AND('Your debts'!$F$11&lt;&gt;"",'Your debts'!$F$14&lt;&gt;"",'Your debts'!$F$11&lt;'Your debts'!$F$14),AG262,0)+IF(AND('Your debts'!$F$12&lt;&gt;"",'Your debts'!$F$14&lt;&gt;"",'Your debts'!$F$12&lt;'Your debts'!$F$14),AL262,0)+IF(AND('Your debts'!$F$13&lt;&gt;"",'Your debts'!$F$14&lt;&gt;"",'Your debts'!$F$13&lt;'Your debts'!$F$14),AQ262,0)+IF(AND('Your debts'!$F$15&lt;&gt;"",'Your debts'!$F$14&lt;&gt;"",'Your debts'!$F$15&lt;'Your debts'!$F$14),BA262,0)))))</f>
        <v/>
      </c>
      <c r="AX262" s="33">
        <f>AV262-AW262</f>
        <v/>
      </c>
      <c r="AY262" s="33">
        <f>IF(BC261&lt;=0,0,ROUND(BC261*(1+'Your debts'!$D$15/1200),2))</f>
        <v/>
      </c>
      <c r="AZ262" s="33">
        <f>IF(AY262&lt;=0,0,MIN('Your debts'!$E$15,AY262))</f>
        <v/>
      </c>
      <c r="BA262" s="33">
        <f>AY262-AZ262</f>
        <v/>
      </c>
      <c r="BB262" s="33">
        <f>IF('Your debts'!$F$15="",0,MIN(BA262,MAX(0,MAX(0,'Your debts'!$C$19-(G262+L262+Q262+V262+AA262+AF262+AK262+AP262+AU262+AZ262))-(IF(AND('Your debts'!$F$6&lt;&gt;"",'Your debts'!$F$15&lt;&gt;"",'Your debts'!$F$6&lt;'Your debts'!$F$15),H262,0)+IF(AND('Your debts'!$F$7&lt;&gt;"",'Your debts'!$F$15&lt;&gt;"",'Your debts'!$F$7&lt;'Your debts'!$F$15),M262,0)+IF(AND('Your debts'!$F$8&lt;&gt;"",'Your debts'!$F$15&lt;&gt;"",'Your debts'!$F$8&lt;'Your debts'!$F$15),R262,0)+IF(AND('Your debts'!$F$9&lt;&gt;"",'Your debts'!$F$15&lt;&gt;"",'Your debts'!$F$9&lt;'Your debts'!$F$15),W262,0)+IF(AND('Your debts'!$F$10&lt;&gt;"",'Your debts'!$F$15&lt;&gt;"",'Your debts'!$F$10&lt;'Your debts'!$F$15),AB262,0)+IF(AND('Your debts'!$F$11&lt;&gt;"",'Your debts'!$F$15&lt;&gt;"",'Your debts'!$F$11&lt;'Your debts'!$F$15),AG262,0)+IF(AND('Your debts'!$F$12&lt;&gt;"",'Your debts'!$F$15&lt;&gt;"",'Your debts'!$F$12&lt;'Your debts'!$F$15),AL262,0)+IF(AND('Your debts'!$F$13&lt;&gt;"",'Your debts'!$F$15&lt;&gt;"",'Your debts'!$F$13&lt;'Your debts'!$F$15),AQ262,0)+IF(AND('Your debts'!$F$14&lt;&gt;"",'Your debts'!$F$15&lt;&gt;"",'Your debts'!$F$14&lt;'Your debts'!$F$15),AV262,0)))))</f>
        <v/>
      </c>
      <c r="BC262" s="33">
        <f>BA262-BB262</f>
        <v/>
      </c>
    </row>
    <row r="263">
      <c r="A263" s="30" t="n">
        <v>248</v>
      </c>
      <c r="B263" s="31">
        <f>EDATE($B$15,248)</f>
        <v/>
      </c>
      <c r="C263" s="32">
        <f>IF(J262&lt;=0,0,F263-J262)+IF(O262&lt;=0,0,K263-O262)+IF(T262&lt;=0,0,P263-T262)+IF(Y262&lt;=0,0,U263-Y262)+IF(AD262&lt;=0,0,Z263-AD262)+IF(AI262&lt;=0,0,AE263-AI262)+IF(AN262&lt;=0,0,AJ263-AN262)+IF(AS262&lt;=0,0,AO263-AS262)+IF(AX262&lt;=0,0,AT263-AX262)+IF(BC262&lt;=0,0,AY263-BC262)</f>
        <v/>
      </c>
      <c r="D263" s="32">
        <f>G263+I263+L263+N263+Q263+S263+V263+X263+AA263+AC263+AF263+AH263+AK263+AM263+AP263+AR263+AU263+AW263+AZ263+BB263</f>
        <v/>
      </c>
      <c r="E263" s="32">
        <f>J263+O263+T263+Y263+AD263+AI263+AN263+AS263+AX263+BC263</f>
        <v/>
      </c>
      <c r="F263" s="33">
        <f>IF(J262&lt;=0,0,ROUND(J262*(1+'Your debts'!$D$6/1200),2))</f>
        <v/>
      </c>
      <c r="G263" s="33">
        <f>IF(F263&lt;=0,0,MIN('Your debts'!$E$6,F263))</f>
        <v/>
      </c>
      <c r="H263" s="33">
        <f>F263-G263</f>
        <v/>
      </c>
      <c r="I263" s="33">
        <f>IF('Your debts'!$F$6="",0,MIN(H263,MAX(0,MAX(0,'Your debts'!$C$19-(G263+L263+Q263+V263+AA263+AF263+AK263+AP263+AU263+AZ263))-(IF(AND('Your debts'!$F$7&lt;&gt;"",'Your debts'!$F$6&lt;&gt;"",'Your debts'!$F$7&lt;'Your debts'!$F$6),M263,0)+IF(AND('Your debts'!$F$8&lt;&gt;"",'Your debts'!$F$6&lt;&gt;"",'Your debts'!$F$8&lt;'Your debts'!$F$6),R263,0)+IF(AND('Your debts'!$F$9&lt;&gt;"",'Your debts'!$F$6&lt;&gt;"",'Your debts'!$F$9&lt;'Your debts'!$F$6),W263,0)+IF(AND('Your debts'!$F$10&lt;&gt;"",'Your debts'!$F$6&lt;&gt;"",'Your debts'!$F$10&lt;'Your debts'!$F$6),AB263,0)+IF(AND('Your debts'!$F$11&lt;&gt;"",'Your debts'!$F$6&lt;&gt;"",'Your debts'!$F$11&lt;'Your debts'!$F$6),AG263,0)+IF(AND('Your debts'!$F$12&lt;&gt;"",'Your debts'!$F$6&lt;&gt;"",'Your debts'!$F$12&lt;'Your debts'!$F$6),AL263,0)+IF(AND('Your debts'!$F$13&lt;&gt;"",'Your debts'!$F$6&lt;&gt;"",'Your debts'!$F$13&lt;'Your debts'!$F$6),AQ263,0)+IF(AND('Your debts'!$F$14&lt;&gt;"",'Your debts'!$F$6&lt;&gt;"",'Your debts'!$F$14&lt;'Your debts'!$F$6),AV263,0)+IF(AND('Your debts'!$F$15&lt;&gt;"",'Your debts'!$F$6&lt;&gt;"",'Your debts'!$F$15&lt;'Your debts'!$F$6),BA263,0)))))</f>
        <v/>
      </c>
      <c r="J263" s="33">
        <f>H263-I263</f>
        <v/>
      </c>
      <c r="K263" s="33">
        <f>IF(O262&lt;=0,0,ROUND(O262*(1+'Your debts'!$D$7/1200),2))</f>
        <v/>
      </c>
      <c r="L263" s="33">
        <f>IF(K263&lt;=0,0,MIN('Your debts'!$E$7,K263))</f>
        <v/>
      </c>
      <c r="M263" s="33">
        <f>K263-L263</f>
        <v/>
      </c>
      <c r="N263" s="33">
        <f>IF('Your debts'!$F$7="",0,MIN(M263,MAX(0,MAX(0,'Your debts'!$C$19-(G263+L263+Q263+V263+AA263+AF263+AK263+AP263+AU263+AZ263))-(IF(AND('Your debts'!$F$6&lt;&gt;"",'Your debts'!$F$7&lt;&gt;"",'Your debts'!$F$6&lt;'Your debts'!$F$7),H263,0)+IF(AND('Your debts'!$F$8&lt;&gt;"",'Your debts'!$F$7&lt;&gt;"",'Your debts'!$F$8&lt;'Your debts'!$F$7),R263,0)+IF(AND('Your debts'!$F$9&lt;&gt;"",'Your debts'!$F$7&lt;&gt;"",'Your debts'!$F$9&lt;'Your debts'!$F$7),W263,0)+IF(AND('Your debts'!$F$10&lt;&gt;"",'Your debts'!$F$7&lt;&gt;"",'Your debts'!$F$10&lt;'Your debts'!$F$7),AB263,0)+IF(AND('Your debts'!$F$11&lt;&gt;"",'Your debts'!$F$7&lt;&gt;"",'Your debts'!$F$11&lt;'Your debts'!$F$7),AG263,0)+IF(AND('Your debts'!$F$12&lt;&gt;"",'Your debts'!$F$7&lt;&gt;"",'Your debts'!$F$12&lt;'Your debts'!$F$7),AL263,0)+IF(AND('Your debts'!$F$13&lt;&gt;"",'Your debts'!$F$7&lt;&gt;"",'Your debts'!$F$13&lt;'Your debts'!$F$7),AQ263,0)+IF(AND('Your debts'!$F$14&lt;&gt;"",'Your debts'!$F$7&lt;&gt;"",'Your debts'!$F$14&lt;'Your debts'!$F$7),AV263,0)+IF(AND('Your debts'!$F$15&lt;&gt;"",'Your debts'!$F$7&lt;&gt;"",'Your debts'!$F$15&lt;'Your debts'!$F$7),BA263,0)))))</f>
        <v/>
      </c>
      <c r="O263" s="33">
        <f>M263-N263</f>
        <v/>
      </c>
      <c r="P263" s="33">
        <f>IF(T262&lt;=0,0,ROUND(T262*(1+'Your debts'!$D$8/1200),2))</f>
        <v/>
      </c>
      <c r="Q263" s="33">
        <f>IF(P263&lt;=0,0,MIN('Your debts'!$E$8,P263))</f>
        <v/>
      </c>
      <c r="R263" s="33">
        <f>P263-Q263</f>
        <v/>
      </c>
      <c r="S263" s="33">
        <f>IF('Your debts'!$F$8="",0,MIN(R263,MAX(0,MAX(0,'Your debts'!$C$19-(G263+L263+Q263+V263+AA263+AF263+AK263+AP263+AU263+AZ263))-(IF(AND('Your debts'!$F$6&lt;&gt;"",'Your debts'!$F$8&lt;&gt;"",'Your debts'!$F$6&lt;'Your debts'!$F$8),H263,0)+IF(AND('Your debts'!$F$7&lt;&gt;"",'Your debts'!$F$8&lt;&gt;"",'Your debts'!$F$7&lt;'Your debts'!$F$8),M263,0)+IF(AND('Your debts'!$F$9&lt;&gt;"",'Your debts'!$F$8&lt;&gt;"",'Your debts'!$F$9&lt;'Your debts'!$F$8),W263,0)+IF(AND('Your debts'!$F$10&lt;&gt;"",'Your debts'!$F$8&lt;&gt;"",'Your debts'!$F$10&lt;'Your debts'!$F$8),AB263,0)+IF(AND('Your debts'!$F$11&lt;&gt;"",'Your debts'!$F$8&lt;&gt;"",'Your debts'!$F$11&lt;'Your debts'!$F$8),AG263,0)+IF(AND('Your debts'!$F$12&lt;&gt;"",'Your debts'!$F$8&lt;&gt;"",'Your debts'!$F$12&lt;'Your debts'!$F$8),AL263,0)+IF(AND('Your debts'!$F$13&lt;&gt;"",'Your debts'!$F$8&lt;&gt;"",'Your debts'!$F$13&lt;'Your debts'!$F$8),AQ263,0)+IF(AND('Your debts'!$F$14&lt;&gt;"",'Your debts'!$F$8&lt;&gt;"",'Your debts'!$F$14&lt;'Your debts'!$F$8),AV263,0)+IF(AND('Your debts'!$F$15&lt;&gt;"",'Your debts'!$F$8&lt;&gt;"",'Your debts'!$F$15&lt;'Your debts'!$F$8),BA263,0)))))</f>
        <v/>
      </c>
      <c r="T263" s="33">
        <f>R263-S263</f>
        <v/>
      </c>
      <c r="U263" s="33">
        <f>IF(Y262&lt;=0,0,ROUND(Y262*(1+'Your debts'!$D$9/1200),2))</f>
        <v/>
      </c>
      <c r="V263" s="33">
        <f>IF(U263&lt;=0,0,MIN('Your debts'!$E$9,U263))</f>
        <v/>
      </c>
      <c r="W263" s="33">
        <f>U263-V263</f>
        <v/>
      </c>
      <c r="X263" s="33">
        <f>IF('Your debts'!$F$9="",0,MIN(W263,MAX(0,MAX(0,'Your debts'!$C$19-(G263+L263+Q263+V263+AA263+AF263+AK263+AP263+AU263+AZ263))-(IF(AND('Your debts'!$F$6&lt;&gt;"",'Your debts'!$F$9&lt;&gt;"",'Your debts'!$F$6&lt;'Your debts'!$F$9),H263,0)+IF(AND('Your debts'!$F$7&lt;&gt;"",'Your debts'!$F$9&lt;&gt;"",'Your debts'!$F$7&lt;'Your debts'!$F$9),M263,0)+IF(AND('Your debts'!$F$8&lt;&gt;"",'Your debts'!$F$9&lt;&gt;"",'Your debts'!$F$8&lt;'Your debts'!$F$9),R263,0)+IF(AND('Your debts'!$F$10&lt;&gt;"",'Your debts'!$F$9&lt;&gt;"",'Your debts'!$F$10&lt;'Your debts'!$F$9),AB263,0)+IF(AND('Your debts'!$F$11&lt;&gt;"",'Your debts'!$F$9&lt;&gt;"",'Your debts'!$F$11&lt;'Your debts'!$F$9),AG263,0)+IF(AND('Your debts'!$F$12&lt;&gt;"",'Your debts'!$F$9&lt;&gt;"",'Your debts'!$F$12&lt;'Your debts'!$F$9),AL263,0)+IF(AND('Your debts'!$F$13&lt;&gt;"",'Your debts'!$F$9&lt;&gt;"",'Your debts'!$F$13&lt;'Your debts'!$F$9),AQ263,0)+IF(AND('Your debts'!$F$14&lt;&gt;"",'Your debts'!$F$9&lt;&gt;"",'Your debts'!$F$14&lt;'Your debts'!$F$9),AV263,0)+IF(AND('Your debts'!$F$15&lt;&gt;"",'Your debts'!$F$9&lt;&gt;"",'Your debts'!$F$15&lt;'Your debts'!$F$9),BA263,0)))))</f>
        <v/>
      </c>
      <c r="Y263" s="33">
        <f>W263-X263</f>
        <v/>
      </c>
      <c r="Z263" s="33">
        <f>IF(AD262&lt;=0,0,ROUND(AD262*(1+'Your debts'!$D$10/1200),2))</f>
        <v/>
      </c>
      <c r="AA263" s="33">
        <f>IF(Z263&lt;=0,0,MIN('Your debts'!$E$10,Z263))</f>
        <v/>
      </c>
      <c r="AB263" s="33">
        <f>Z263-AA263</f>
        <v/>
      </c>
      <c r="AC263" s="33">
        <f>IF('Your debts'!$F$10="",0,MIN(AB263,MAX(0,MAX(0,'Your debts'!$C$19-(G263+L263+Q263+V263+AA263+AF263+AK263+AP263+AU263+AZ263))-(IF(AND('Your debts'!$F$6&lt;&gt;"",'Your debts'!$F$10&lt;&gt;"",'Your debts'!$F$6&lt;'Your debts'!$F$10),H263,0)+IF(AND('Your debts'!$F$7&lt;&gt;"",'Your debts'!$F$10&lt;&gt;"",'Your debts'!$F$7&lt;'Your debts'!$F$10),M263,0)+IF(AND('Your debts'!$F$8&lt;&gt;"",'Your debts'!$F$10&lt;&gt;"",'Your debts'!$F$8&lt;'Your debts'!$F$10),R263,0)+IF(AND('Your debts'!$F$9&lt;&gt;"",'Your debts'!$F$10&lt;&gt;"",'Your debts'!$F$9&lt;'Your debts'!$F$10),W263,0)+IF(AND('Your debts'!$F$11&lt;&gt;"",'Your debts'!$F$10&lt;&gt;"",'Your debts'!$F$11&lt;'Your debts'!$F$10),AG263,0)+IF(AND('Your debts'!$F$12&lt;&gt;"",'Your debts'!$F$10&lt;&gt;"",'Your debts'!$F$12&lt;'Your debts'!$F$10),AL263,0)+IF(AND('Your debts'!$F$13&lt;&gt;"",'Your debts'!$F$10&lt;&gt;"",'Your debts'!$F$13&lt;'Your debts'!$F$10),AQ263,0)+IF(AND('Your debts'!$F$14&lt;&gt;"",'Your debts'!$F$10&lt;&gt;"",'Your debts'!$F$14&lt;'Your debts'!$F$10),AV263,0)+IF(AND('Your debts'!$F$15&lt;&gt;"",'Your debts'!$F$10&lt;&gt;"",'Your debts'!$F$15&lt;'Your debts'!$F$10),BA263,0)))))</f>
        <v/>
      </c>
      <c r="AD263" s="33">
        <f>AB263-AC263</f>
        <v/>
      </c>
      <c r="AE263" s="33">
        <f>IF(AI262&lt;=0,0,ROUND(AI262*(1+'Your debts'!$D$11/1200),2))</f>
        <v/>
      </c>
      <c r="AF263" s="33">
        <f>IF(AE263&lt;=0,0,MIN('Your debts'!$E$11,AE263))</f>
        <v/>
      </c>
      <c r="AG263" s="33">
        <f>AE263-AF263</f>
        <v/>
      </c>
      <c r="AH263" s="33">
        <f>IF('Your debts'!$F$11="",0,MIN(AG263,MAX(0,MAX(0,'Your debts'!$C$19-(G263+L263+Q263+V263+AA263+AF263+AK263+AP263+AU263+AZ263))-(IF(AND('Your debts'!$F$6&lt;&gt;"",'Your debts'!$F$11&lt;&gt;"",'Your debts'!$F$6&lt;'Your debts'!$F$11),H263,0)+IF(AND('Your debts'!$F$7&lt;&gt;"",'Your debts'!$F$11&lt;&gt;"",'Your debts'!$F$7&lt;'Your debts'!$F$11),M263,0)+IF(AND('Your debts'!$F$8&lt;&gt;"",'Your debts'!$F$11&lt;&gt;"",'Your debts'!$F$8&lt;'Your debts'!$F$11),R263,0)+IF(AND('Your debts'!$F$9&lt;&gt;"",'Your debts'!$F$11&lt;&gt;"",'Your debts'!$F$9&lt;'Your debts'!$F$11),W263,0)+IF(AND('Your debts'!$F$10&lt;&gt;"",'Your debts'!$F$11&lt;&gt;"",'Your debts'!$F$10&lt;'Your debts'!$F$11),AB263,0)+IF(AND('Your debts'!$F$12&lt;&gt;"",'Your debts'!$F$11&lt;&gt;"",'Your debts'!$F$12&lt;'Your debts'!$F$11),AL263,0)+IF(AND('Your debts'!$F$13&lt;&gt;"",'Your debts'!$F$11&lt;&gt;"",'Your debts'!$F$13&lt;'Your debts'!$F$11),AQ263,0)+IF(AND('Your debts'!$F$14&lt;&gt;"",'Your debts'!$F$11&lt;&gt;"",'Your debts'!$F$14&lt;'Your debts'!$F$11),AV263,0)+IF(AND('Your debts'!$F$15&lt;&gt;"",'Your debts'!$F$11&lt;&gt;"",'Your debts'!$F$15&lt;'Your debts'!$F$11),BA263,0)))))</f>
        <v/>
      </c>
      <c r="AI263" s="33">
        <f>AG263-AH263</f>
        <v/>
      </c>
      <c r="AJ263" s="33">
        <f>IF(AN262&lt;=0,0,ROUND(AN262*(1+'Your debts'!$D$12/1200),2))</f>
        <v/>
      </c>
      <c r="AK263" s="33">
        <f>IF(AJ263&lt;=0,0,MIN('Your debts'!$E$12,AJ263))</f>
        <v/>
      </c>
      <c r="AL263" s="33">
        <f>AJ263-AK263</f>
        <v/>
      </c>
      <c r="AM263" s="33">
        <f>IF('Your debts'!$F$12="",0,MIN(AL263,MAX(0,MAX(0,'Your debts'!$C$19-(G263+L263+Q263+V263+AA263+AF263+AK263+AP263+AU263+AZ263))-(IF(AND('Your debts'!$F$6&lt;&gt;"",'Your debts'!$F$12&lt;&gt;"",'Your debts'!$F$6&lt;'Your debts'!$F$12),H263,0)+IF(AND('Your debts'!$F$7&lt;&gt;"",'Your debts'!$F$12&lt;&gt;"",'Your debts'!$F$7&lt;'Your debts'!$F$12),M263,0)+IF(AND('Your debts'!$F$8&lt;&gt;"",'Your debts'!$F$12&lt;&gt;"",'Your debts'!$F$8&lt;'Your debts'!$F$12),R263,0)+IF(AND('Your debts'!$F$9&lt;&gt;"",'Your debts'!$F$12&lt;&gt;"",'Your debts'!$F$9&lt;'Your debts'!$F$12),W263,0)+IF(AND('Your debts'!$F$10&lt;&gt;"",'Your debts'!$F$12&lt;&gt;"",'Your debts'!$F$10&lt;'Your debts'!$F$12),AB263,0)+IF(AND('Your debts'!$F$11&lt;&gt;"",'Your debts'!$F$12&lt;&gt;"",'Your debts'!$F$11&lt;'Your debts'!$F$12),AG263,0)+IF(AND('Your debts'!$F$13&lt;&gt;"",'Your debts'!$F$12&lt;&gt;"",'Your debts'!$F$13&lt;'Your debts'!$F$12),AQ263,0)+IF(AND('Your debts'!$F$14&lt;&gt;"",'Your debts'!$F$12&lt;&gt;"",'Your debts'!$F$14&lt;'Your debts'!$F$12),AV263,0)+IF(AND('Your debts'!$F$15&lt;&gt;"",'Your debts'!$F$12&lt;&gt;"",'Your debts'!$F$15&lt;'Your debts'!$F$12),BA263,0)))))</f>
        <v/>
      </c>
      <c r="AN263" s="33">
        <f>AL263-AM263</f>
        <v/>
      </c>
      <c r="AO263" s="33">
        <f>IF(AS262&lt;=0,0,ROUND(AS262*(1+'Your debts'!$D$13/1200),2))</f>
        <v/>
      </c>
      <c r="AP263" s="33">
        <f>IF(AO263&lt;=0,0,MIN('Your debts'!$E$13,AO263))</f>
        <v/>
      </c>
      <c r="AQ263" s="33">
        <f>AO263-AP263</f>
        <v/>
      </c>
      <c r="AR263" s="33">
        <f>IF('Your debts'!$F$13="",0,MIN(AQ263,MAX(0,MAX(0,'Your debts'!$C$19-(G263+L263+Q263+V263+AA263+AF263+AK263+AP263+AU263+AZ263))-(IF(AND('Your debts'!$F$6&lt;&gt;"",'Your debts'!$F$13&lt;&gt;"",'Your debts'!$F$6&lt;'Your debts'!$F$13),H263,0)+IF(AND('Your debts'!$F$7&lt;&gt;"",'Your debts'!$F$13&lt;&gt;"",'Your debts'!$F$7&lt;'Your debts'!$F$13),M263,0)+IF(AND('Your debts'!$F$8&lt;&gt;"",'Your debts'!$F$13&lt;&gt;"",'Your debts'!$F$8&lt;'Your debts'!$F$13),R263,0)+IF(AND('Your debts'!$F$9&lt;&gt;"",'Your debts'!$F$13&lt;&gt;"",'Your debts'!$F$9&lt;'Your debts'!$F$13),W263,0)+IF(AND('Your debts'!$F$10&lt;&gt;"",'Your debts'!$F$13&lt;&gt;"",'Your debts'!$F$10&lt;'Your debts'!$F$13),AB263,0)+IF(AND('Your debts'!$F$11&lt;&gt;"",'Your debts'!$F$13&lt;&gt;"",'Your debts'!$F$11&lt;'Your debts'!$F$13),AG263,0)+IF(AND('Your debts'!$F$12&lt;&gt;"",'Your debts'!$F$13&lt;&gt;"",'Your debts'!$F$12&lt;'Your debts'!$F$13),AL263,0)+IF(AND('Your debts'!$F$14&lt;&gt;"",'Your debts'!$F$13&lt;&gt;"",'Your debts'!$F$14&lt;'Your debts'!$F$13),AV263,0)+IF(AND('Your debts'!$F$15&lt;&gt;"",'Your debts'!$F$13&lt;&gt;"",'Your debts'!$F$15&lt;'Your debts'!$F$13),BA263,0)))))</f>
        <v/>
      </c>
      <c r="AS263" s="33">
        <f>AQ263-AR263</f>
        <v/>
      </c>
      <c r="AT263" s="33">
        <f>IF(AX262&lt;=0,0,ROUND(AX262*(1+'Your debts'!$D$14/1200),2))</f>
        <v/>
      </c>
      <c r="AU263" s="33">
        <f>IF(AT263&lt;=0,0,MIN('Your debts'!$E$14,AT263))</f>
        <v/>
      </c>
      <c r="AV263" s="33">
        <f>AT263-AU263</f>
        <v/>
      </c>
      <c r="AW263" s="33">
        <f>IF('Your debts'!$F$14="",0,MIN(AV263,MAX(0,MAX(0,'Your debts'!$C$19-(G263+L263+Q263+V263+AA263+AF263+AK263+AP263+AU263+AZ263))-(IF(AND('Your debts'!$F$6&lt;&gt;"",'Your debts'!$F$14&lt;&gt;"",'Your debts'!$F$6&lt;'Your debts'!$F$14),H263,0)+IF(AND('Your debts'!$F$7&lt;&gt;"",'Your debts'!$F$14&lt;&gt;"",'Your debts'!$F$7&lt;'Your debts'!$F$14),M263,0)+IF(AND('Your debts'!$F$8&lt;&gt;"",'Your debts'!$F$14&lt;&gt;"",'Your debts'!$F$8&lt;'Your debts'!$F$14),R263,0)+IF(AND('Your debts'!$F$9&lt;&gt;"",'Your debts'!$F$14&lt;&gt;"",'Your debts'!$F$9&lt;'Your debts'!$F$14),W263,0)+IF(AND('Your debts'!$F$10&lt;&gt;"",'Your debts'!$F$14&lt;&gt;"",'Your debts'!$F$10&lt;'Your debts'!$F$14),AB263,0)+IF(AND('Your debts'!$F$11&lt;&gt;"",'Your debts'!$F$14&lt;&gt;"",'Your debts'!$F$11&lt;'Your debts'!$F$14),AG263,0)+IF(AND('Your debts'!$F$12&lt;&gt;"",'Your debts'!$F$14&lt;&gt;"",'Your debts'!$F$12&lt;'Your debts'!$F$14),AL263,0)+IF(AND('Your debts'!$F$13&lt;&gt;"",'Your debts'!$F$14&lt;&gt;"",'Your debts'!$F$13&lt;'Your debts'!$F$14),AQ263,0)+IF(AND('Your debts'!$F$15&lt;&gt;"",'Your debts'!$F$14&lt;&gt;"",'Your debts'!$F$15&lt;'Your debts'!$F$14),BA263,0)))))</f>
        <v/>
      </c>
      <c r="AX263" s="33">
        <f>AV263-AW263</f>
        <v/>
      </c>
      <c r="AY263" s="33">
        <f>IF(BC262&lt;=0,0,ROUND(BC262*(1+'Your debts'!$D$15/1200),2))</f>
        <v/>
      </c>
      <c r="AZ263" s="33">
        <f>IF(AY263&lt;=0,0,MIN('Your debts'!$E$15,AY263))</f>
        <v/>
      </c>
      <c r="BA263" s="33">
        <f>AY263-AZ263</f>
        <v/>
      </c>
      <c r="BB263" s="33">
        <f>IF('Your debts'!$F$15="",0,MIN(BA263,MAX(0,MAX(0,'Your debts'!$C$19-(G263+L263+Q263+V263+AA263+AF263+AK263+AP263+AU263+AZ263))-(IF(AND('Your debts'!$F$6&lt;&gt;"",'Your debts'!$F$15&lt;&gt;"",'Your debts'!$F$6&lt;'Your debts'!$F$15),H263,0)+IF(AND('Your debts'!$F$7&lt;&gt;"",'Your debts'!$F$15&lt;&gt;"",'Your debts'!$F$7&lt;'Your debts'!$F$15),M263,0)+IF(AND('Your debts'!$F$8&lt;&gt;"",'Your debts'!$F$15&lt;&gt;"",'Your debts'!$F$8&lt;'Your debts'!$F$15),R263,0)+IF(AND('Your debts'!$F$9&lt;&gt;"",'Your debts'!$F$15&lt;&gt;"",'Your debts'!$F$9&lt;'Your debts'!$F$15),W263,0)+IF(AND('Your debts'!$F$10&lt;&gt;"",'Your debts'!$F$15&lt;&gt;"",'Your debts'!$F$10&lt;'Your debts'!$F$15),AB263,0)+IF(AND('Your debts'!$F$11&lt;&gt;"",'Your debts'!$F$15&lt;&gt;"",'Your debts'!$F$11&lt;'Your debts'!$F$15),AG263,0)+IF(AND('Your debts'!$F$12&lt;&gt;"",'Your debts'!$F$15&lt;&gt;"",'Your debts'!$F$12&lt;'Your debts'!$F$15),AL263,0)+IF(AND('Your debts'!$F$13&lt;&gt;"",'Your debts'!$F$15&lt;&gt;"",'Your debts'!$F$13&lt;'Your debts'!$F$15),AQ263,0)+IF(AND('Your debts'!$F$14&lt;&gt;"",'Your debts'!$F$15&lt;&gt;"",'Your debts'!$F$14&lt;'Your debts'!$F$15),AV263,0)))))</f>
        <v/>
      </c>
      <c r="BC263" s="33">
        <f>BA263-BB263</f>
        <v/>
      </c>
    </row>
    <row r="264">
      <c r="A264" s="30" t="n">
        <v>249</v>
      </c>
      <c r="B264" s="31">
        <f>EDATE($B$15,249)</f>
        <v/>
      </c>
      <c r="C264" s="32">
        <f>IF(J263&lt;=0,0,F264-J263)+IF(O263&lt;=0,0,K264-O263)+IF(T263&lt;=0,0,P264-T263)+IF(Y263&lt;=0,0,U264-Y263)+IF(AD263&lt;=0,0,Z264-AD263)+IF(AI263&lt;=0,0,AE264-AI263)+IF(AN263&lt;=0,0,AJ264-AN263)+IF(AS263&lt;=0,0,AO264-AS263)+IF(AX263&lt;=0,0,AT264-AX263)+IF(BC263&lt;=0,0,AY264-BC263)</f>
        <v/>
      </c>
      <c r="D264" s="32">
        <f>G264+I264+L264+N264+Q264+S264+V264+X264+AA264+AC264+AF264+AH264+AK264+AM264+AP264+AR264+AU264+AW264+AZ264+BB264</f>
        <v/>
      </c>
      <c r="E264" s="32">
        <f>J264+O264+T264+Y264+AD264+AI264+AN264+AS264+AX264+BC264</f>
        <v/>
      </c>
      <c r="F264" s="33">
        <f>IF(J263&lt;=0,0,ROUND(J263*(1+'Your debts'!$D$6/1200),2))</f>
        <v/>
      </c>
      <c r="G264" s="33">
        <f>IF(F264&lt;=0,0,MIN('Your debts'!$E$6,F264))</f>
        <v/>
      </c>
      <c r="H264" s="33">
        <f>F264-G264</f>
        <v/>
      </c>
      <c r="I264" s="33">
        <f>IF('Your debts'!$F$6="",0,MIN(H264,MAX(0,MAX(0,'Your debts'!$C$19-(G264+L264+Q264+V264+AA264+AF264+AK264+AP264+AU264+AZ264))-(IF(AND('Your debts'!$F$7&lt;&gt;"",'Your debts'!$F$6&lt;&gt;"",'Your debts'!$F$7&lt;'Your debts'!$F$6),M264,0)+IF(AND('Your debts'!$F$8&lt;&gt;"",'Your debts'!$F$6&lt;&gt;"",'Your debts'!$F$8&lt;'Your debts'!$F$6),R264,0)+IF(AND('Your debts'!$F$9&lt;&gt;"",'Your debts'!$F$6&lt;&gt;"",'Your debts'!$F$9&lt;'Your debts'!$F$6),W264,0)+IF(AND('Your debts'!$F$10&lt;&gt;"",'Your debts'!$F$6&lt;&gt;"",'Your debts'!$F$10&lt;'Your debts'!$F$6),AB264,0)+IF(AND('Your debts'!$F$11&lt;&gt;"",'Your debts'!$F$6&lt;&gt;"",'Your debts'!$F$11&lt;'Your debts'!$F$6),AG264,0)+IF(AND('Your debts'!$F$12&lt;&gt;"",'Your debts'!$F$6&lt;&gt;"",'Your debts'!$F$12&lt;'Your debts'!$F$6),AL264,0)+IF(AND('Your debts'!$F$13&lt;&gt;"",'Your debts'!$F$6&lt;&gt;"",'Your debts'!$F$13&lt;'Your debts'!$F$6),AQ264,0)+IF(AND('Your debts'!$F$14&lt;&gt;"",'Your debts'!$F$6&lt;&gt;"",'Your debts'!$F$14&lt;'Your debts'!$F$6),AV264,0)+IF(AND('Your debts'!$F$15&lt;&gt;"",'Your debts'!$F$6&lt;&gt;"",'Your debts'!$F$15&lt;'Your debts'!$F$6),BA264,0)))))</f>
        <v/>
      </c>
      <c r="J264" s="33">
        <f>H264-I264</f>
        <v/>
      </c>
      <c r="K264" s="33">
        <f>IF(O263&lt;=0,0,ROUND(O263*(1+'Your debts'!$D$7/1200),2))</f>
        <v/>
      </c>
      <c r="L264" s="33">
        <f>IF(K264&lt;=0,0,MIN('Your debts'!$E$7,K264))</f>
        <v/>
      </c>
      <c r="M264" s="33">
        <f>K264-L264</f>
        <v/>
      </c>
      <c r="N264" s="33">
        <f>IF('Your debts'!$F$7="",0,MIN(M264,MAX(0,MAX(0,'Your debts'!$C$19-(G264+L264+Q264+V264+AA264+AF264+AK264+AP264+AU264+AZ264))-(IF(AND('Your debts'!$F$6&lt;&gt;"",'Your debts'!$F$7&lt;&gt;"",'Your debts'!$F$6&lt;'Your debts'!$F$7),H264,0)+IF(AND('Your debts'!$F$8&lt;&gt;"",'Your debts'!$F$7&lt;&gt;"",'Your debts'!$F$8&lt;'Your debts'!$F$7),R264,0)+IF(AND('Your debts'!$F$9&lt;&gt;"",'Your debts'!$F$7&lt;&gt;"",'Your debts'!$F$9&lt;'Your debts'!$F$7),W264,0)+IF(AND('Your debts'!$F$10&lt;&gt;"",'Your debts'!$F$7&lt;&gt;"",'Your debts'!$F$10&lt;'Your debts'!$F$7),AB264,0)+IF(AND('Your debts'!$F$11&lt;&gt;"",'Your debts'!$F$7&lt;&gt;"",'Your debts'!$F$11&lt;'Your debts'!$F$7),AG264,0)+IF(AND('Your debts'!$F$12&lt;&gt;"",'Your debts'!$F$7&lt;&gt;"",'Your debts'!$F$12&lt;'Your debts'!$F$7),AL264,0)+IF(AND('Your debts'!$F$13&lt;&gt;"",'Your debts'!$F$7&lt;&gt;"",'Your debts'!$F$13&lt;'Your debts'!$F$7),AQ264,0)+IF(AND('Your debts'!$F$14&lt;&gt;"",'Your debts'!$F$7&lt;&gt;"",'Your debts'!$F$14&lt;'Your debts'!$F$7),AV264,0)+IF(AND('Your debts'!$F$15&lt;&gt;"",'Your debts'!$F$7&lt;&gt;"",'Your debts'!$F$15&lt;'Your debts'!$F$7),BA264,0)))))</f>
        <v/>
      </c>
      <c r="O264" s="33">
        <f>M264-N264</f>
        <v/>
      </c>
      <c r="P264" s="33">
        <f>IF(T263&lt;=0,0,ROUND(T263*(1+'Your debts'!$D$8/1200),2))</f>
        <v/>
      </c>
      <c r="Q264" s="33">
        <f>IF(P264&lt;=0,0,MIN('Your debts'!$E$8,P264))</f>
        <v/>
      </c>
      <c r="R264" s="33">
        <f>P264-Q264</f>
        <v/>
      </c>
      <c r="S264" s="33">
        <f>IF('Your debts'!$F$8="",0,MIN(R264,MAX(0,MAX(0,'Your debts'!$C$19-(G264+L264+Q264+V264+AA264+AF264+AK264+AP264+AU264+AZ264))-(IF(AND('Your debts'!$F$6&lt;&gt;"",'Your debts'!$F$8&lt;&gt;"",'Your debts'!$F$6&lt;'Your debts'!$F$8),H264,0)+IF(AND('Your debts'!$F$7&lt;&gt;"",'Your debts'!$F$8&lt;&gt;"",'Your debts'!$F$7&lt;'Your debts'!$F$8),M264,0)+IF(AND('Your debts'!$F$9&lt;&gt;"",'Your debts'!$F$8&lt;&gt;"",'Your debts'!$F$9&lt;'Your debts'!$F$8),W264,0)+IF(AND('Your debts'!$F$10&lt;&gt;"",'Your debts'!$F$8&lt;&gt;"",'Your debts'!$F$10&lt;'Your debts'!$F$8),AB264,0)+IF(AND('Your debts'!$F$11&lt;&gt;"",'Your debts'!$F$8&lt;&gt;"",'Your debts'!$F$11&lt;'Your debts'!$F$8),AG264,0)+IF(AND('Your debts'!$F$12&lt;&gt;"",'Your debts'!$F$8&lt;&gt;"",'Your debts'!$F$12&lt;'Your debts'!$F$8),AL264,0)+IF(AND('Your debts'!$F$13&lt;&gt;"",'Your debts'!$F$8&lt;&gt;"",'Your debts'!$F$13&lt;'Your debts'!$F$8),AQ264,0)+IF(AND('Your debts'!$F$14&lt;&gt;"",'Your debts'!$F$8&lt;&gt;"",'Your debts'!$F$14&lt;'Your debts'!$F$8),AV264,0)+IF(AND('Your debts'!$F$15&lt;&gt;"",'Your debts'!$F$8&lt;&gt;"",'Your debts'!$F$15&lt;'Your debts'!$F$8),BA264,0)))))</f>
        <v/>
      </c>
      <c r="T264" s="33">
        <f>R264-S264</f>
        <v/>
      </c>
      <c r="U264" s="33">
        <f>IF(Y263&lt;=0,0,ROUND(Y263*(1+'Your debts'!$D$9/1200),2))</f>
        <v/>
      </c>
      <c r="V264" s="33">
        <f>IF(U264&lt;=0,0,MIN('Your debts'!$E$9,U264))</f>
        <v/>
      </c>
      <c r="W264" s="33">
        <f>U264-V264</f>
        <v/>
      </c>
      <c r="X264" s="33">
        <f>IF('Your debts'!$F$9="",0,MIN(W264,MAX(0,MAX(0,'Your debts'!$C$19-(G264+L264+Q264+V264+AA264+AF264+AK264+AP264+AU264+AZ264))-(IF(AND('Your debts'!$F$6&lt;&gt;"",'Your debts'!$F$9&lt;&gt;"",'Your debts'!$F$6&lt;'Your debts'!$F$9),H264,0)+IF(AND('Your debts'!$F$7&lt;&gt;"",'Your debts'!$F$9&lt;&gt;"",'Your debts'!$F$7&lt;'Your debts'!$F$9),M264,0)+IF(AND('Your debts'!$F$8&lt;&gt;"",'Your debts'!$F$9&lt;&gt;"",'Your debts'!$F$8&lt;'Your debts'!$F$9),R264,0)+IF(AND('Your debts'!$F$10&lt;&gt;"",'Your debts'!$F$9&lt;&gt;"",'Your debts'!$F$10&lt;'Your debts'!$F$9),AB264,0)+IF(AND('Your debts'!$F$11&lt;&gt;"",'Your debts'!$F$9&lt;&gt;"",'Your debts'!$F$11&lt;'Your debts'!$F$9),AG264,0)+IF(AND('Your debts'!$F$12&lt;&gt;"",'Your debts'!$F$9&lt;&gt;"",'Your debts'!$F$12&lt;'Your debts'!$F$9),AL264,0)+IF(AND('Your debts'!$F$13&lt;&gt;"",'Your debts'!$F$9&lt;&gt;"",'Your debts'!$F$13&lt;'Your debts'!$F$9),AQ264,0)+IF(AND('Your debts'!$F$14&lt;&gt;"",'Your debts'!$F$9&lt;&gt;"",'Your debts'!$F$14&lt;'Your debts'!$F$9),AV264,0)+IF(AND('Your debts'!$F$15&lt;&gt;"",'Your debts'!$F$9&lt;&gt;"",'Your debts'!$F$15&lt;'Your debts'!$F$9),BA264,0)))))</f>
        <v/>
      </c>
      <c r="Y264" s="33">
        <f>W264-X264</f>
        <v/>
      </c>
      <c r="Z264" s="33">
        <f>IF(AD263&lt;=0,0,ROUND(AD263*(1+'Your debts'!$D$10/1200),2))</f>
        <v/>
      </c>
      <c r="AA264" s="33">
        <f>IF(Z264&lt;=0,0,MIN('Your debts'!$E$10,Z264))</f>
        <v/>
      </c>
      <c r="AB264" s="33">
        <f>Z264-AA264</f>
        <v/>
      </c>
      <c r="AC264" s="33">
        <f>IF('Your debts'!$F$10="",0,MIN(AB264,MAX(0,MAX(0,'Your debts'!$C$19-(G264+L264+Q264+V264+AA264+AF264+AK264+AP264+AU264+AZ264))-(IF(AND('Your debts'!$F$6&lt;&gt;"",'Your debts'!$F$10&lt;&gt;"",'Your debts'!$F$6&lt;'Your debts'!$F$10),H264,0)+IF(AND('Your debts'!$F$7&lt;&gt;"",'Your debts'!$F$10&lt;&gt;"",'Your debts'!$F$7&lt;'Your debts'!$F$10),M264,0)+IF(AND('Your debts'!$F$8&lt;&gt;"",'Your debts'!$F$10&lt;&gt;"",'Your debts'!$F$8&lt;'Your debts'!$F$10),R264,0)+IF(AND('Your debts'!$F$9&lt;&gt;"",'Your debts'!$F$10&lt;&gt;"",'Your debts'!$F$9&lt;'Your debts'!$F$10),W264,0)+IF(AND('Your debts'!$F$11&lt;&gt;"",'Your debts'!$F$10&lt;&gt;"",'Your debts'!$F$11&lt;'Your debts'!$F$10),AG264,0)+IF(AND('Your debts'!$F$12&lt;&gt;"",'Your debts'!$F$10&lt;&gt;"",'Your debts'!$F$12&lt;'Your debts'!$F$10),AL264,0)+IF(AND('Your debts'!$F$13&lt;&gt;"",'Your debts'!$F$10&lt;&gt;"",'Your debts'!$F$13&lt;'Your debts'!$F$10),AQ264,0)+IF(AND('Your debts'!$F$14&lt;&gt;"",'Your debts'!$F$10&lt;&gt;"",'Your debts'!$F$14&lt;'Your debts'!$F$10),AV264,0)+IF(AND('Your debts'!$F$15&lt;&gt;"",'Your debts'!$F$10&lt;&gt;"",'Your debts'!$F$15&lt;'Your debts'!$F$10),BA264,0)))))</f>
        <v/>
      </c>
      <c r="AD264" s="33">
        <f>AB264-AC264</f>
        <v/>
      </c>
      <c r="AE264" s="33">
        <f>IF(AI263&lt;=0,0,ROUND(AI263*(1+'Your debts'!$D$11/1200),2))</f>
        <v/>
      </c>
      <c r="AF264" s="33">
        <f>IF(AE264&lt;=0,0,MIN('Your debts'!$E$11,AE264))</f>
        <v/>
      </c>
      <c r="AG264" s="33">
        <f>AE264-AF264</f>
        <v/>
      </c>
      <c r="AH264" s="33">
        <f>IF('Your debts'!$F$11="",0,MIN(AG264,MAX(0,MAX(0,'Your debts'!$C$19-(G264+L264+Q264+V264+AA264+AF264+AK264+AP264+AU264+AZ264))-(IF(AND('Your debts'!$F$6&lt;&gt;"",'Your debts'!$F$11&lt;&gt;"",'Your debts'!$F$6&lt;'Your debts'!$F$11),H264,0)+IF(AND('Your debts'!$F$7&lt;&gt;"",'Your debts'!$F$11&lt;&gt;"",'Your debts'!$F$7&lt;'Your debts'!$F$11),M264,0)+IF(AND('Your debts'!$F$8&lt;&gt;"",'Your debts'!$F$11&lt;&gt;"",'Your debts'!$F$8&lt;'Your debts'!$F$11),R264,0)+IF(AND('Your debts'!$F$9&lt;&gt;"",'Your debts'!$F$11&lt;&gt;"",'Your debts'!$F$9&lt;'Your debts'!$F$11),W264,0)+IF(AND('Your debts'!$F$10&lt;&gt;"",'Your debts'!$F$11&lt;&gt;"",'Your debts'!$F$10&lt;'Your debts'!$F$11),AB264,0)+IF(AND('Your debts'!$F$12&lt;&gt;"",'Your debts'!$F$11&lt;&gt;"",'Your debts'!$F$12&lt;'Your debts'!$F$11),AL264,0)+IF(AND('Your debts'!$F$13&lt;&gt;"",'Your debts'!$F$11&lt;&gt;"",'Your debts'!$F$13&lt;'Your debts'!$F$11),AQ264,0)+IF(AND('Your debts'!$F$14&lt;&gt;"",'Your debts'!$F$11&lt;&gt;"",'Your debts'!$F$14&lt;'Your debts'!$F$11),AV264,0)+IF(AND('Your debts'!$F$15&lt;&gt;"",'Your debts'!$F$11&lt;&gt;"",'Your debts'!$F$15&lt;'Your debts'!$F$11),BA264,0)))))</f>
        <v/>
      </c>
      <c r="AI264" s="33">
        <f>AG264-AH264</f>
        <v/>
      </c>
      <c r="AJ264" s="33">
        <f>IF(AN263&lt;=0,0,ROUND(AN263*(1+'Your debts'!$D$12/1200),2))</f>
        <v/>
      </c>
      <c r="AK264" s="33">
        <f>IF(AJ264&lt;=0,0,MIN('Your debts'!$E$12,AJ264))</f>
        <v/>
      </c>
      <c r="AL264" s="33">
        <f>AJ264-AK264</f>
        <v/>
      </c>
      <c r="AM264" s="33">
        <f>IF('Your debts'!$F$12="",0,MIN(AL264,MAX(0,MAX(0,'Your debts'!$C$19-(G264+L264+Q264+V264+AA264+AF264+AK264+AP264+AU264+AZ264))-(IF(AND('Your debts'!$F$6&lt;&gt;"",'Your debts'!$F$12&lt;&gt;"",'Your debts'!$F$6&lt;'Your debts'!$F$12),H264,0)+IF(AND('Your debts'!$F$7&lt;&gt;"",'Your debts'!$F$12&lt;&gt;"",'Your debts'!$F$7&lt;'Your debts'!$F$12),M264,0)+IF(AND('Your debts'!$F$8&lt;&gt;"",'Your debts'!$F$12&lt;&gt;"",'Your debts'!$F$8&lt;'Your debts'!$F$12),R264,0)+IF(AND('Your debts'!$F$9&lt;&gt;"",'Your debts'!$F$12&lt;&gt;"",'Your debts'!$F$9&lt;'Your debts'!$F$12),W264,0)+IF(AND('Your debts'!$F$10&lt;&gt;"",'Your debts'!$F$12&lt;&gt;"",'Your debts'!$F$10&lt;'Your debts'!$F$12),AB264,0)+IF(AND('Your debts'!$F$11&lt;&gt;"",'Your debts'!$F$12&lt;&gt;"",'Your debts'!$F$11&lt;'Your debts'!$F$12),AG264,0)+IF(AND('Your debts'!$F$13&lt;&gt;"",'Your debts'!$F$12&lt;&gt;"",'Your debts'!$F$13&lt;'Your debts'!$F$12),AQ264,0)+IF(AND('Your debts'!$F$14&lt;&gt;"",'Your debts'!$F$12&lt;&gt;"",'Your debts'!$F$14&lt;'Your debts'!$F$12),AV264,0)+IF(AND('Your debts'!$F$15&lt;&gt;"",'Your debts'!$F$12&lt;&gt;"",'Your debts'!$F$15&lt;'Your debts'!$F$12),BA264,0)))))</f>
        <v/>
      </c>
      <c r="AN264" s="33">
        <f>AL264-AM264</f>
        <v/>
      </c>
      <c r="AO264" s="33">
        <f>IF(AS263&lt;=0,0,ROUND(AS263*(1+'Your debts'!$D$13/1200),2))</f>
        <v/>
      </c>
      <c r="AP264" s="33">
        <f>IF(AO264&lt;=0,0,MIN('Your debts'!$E$13,AO264))</f>
        <v/>
      </c>
      <c r="AQ264" s="33">
        <f>AO264-AP264</f>
        <v/>
      </c>
      <c r="AR264" s="33">
        <f>IF('Your debts'!$F$13="",0,MIN(AQ264,MAX(0,MAX(0,'Your debts'!$C$19-(G264+L264+Q264+V264+AA264+AF264+AK264+AP264+AU264+AZ264))-(IF(AND('Your debts'!$F$6&lt;&gt;"",'Your debts'!$F$13&lt;&gt;"",'Your debts'!$F$6&lt;'Your debts'!$F$13),H264,0)+IF(AND('Your debts'!$F$7&lt;&gt;"",'Your debts'!$F$13&lt;&gt;"",'Your debts'!$F$7&lt;'Your debts'!$F$13),M264,0)+IF(AND('Your debts'!$F$8&lt;&gt;"",'Your debts'!$F$13&lt;&gt;"",'Your debts'!$F$8&lt;'Your debts'!$F$13),R264,0)+IF(AND('Your debts'!$F$9&lt;&gt;"",'Your debts'!$F$13&lt;&gt;"",'Your debts'!$F$9&lt;'Your debts'!$F$13),W264,0)+IF(AND('Your debts'!$F$10&lt;&gt;"",'Your debts'!$F$13&lt;&gt;"",'Your debts'!$F$10&lt;'Your debts'!$F$13),AB264,0)+IF(AND('Your debts'!$F$11&lt;&gt;"",'Your debts'!$F$13&lt;&gt;"",'Your debts'!$F$11&lt;'Your debts'!$F$13),AG264,0)+IF(AND('Your debts'!$F$12&lt;&gt;"",'Your debts'!$F$13&lt;&gt;"",'Your debts'!$F$12&lt;'Your debts'!$F$13),AL264,0)+IF(AND('Your debts'!$F$14&lt;&gt;"",'Your debts'!$F$13&lt;&gt;"",'Your debts'!$F$14&lt;'Your debts'!$F$13),AV264,0)+IF(AND('Your debts'!$F$15&lt;&gt;"",'Your debts'!$F$13&lt;&gt;"",'Your debts'!$F$15&lt;'Your debts'!$F$13),BA264,0)))))</f>
        <v/>
      </c>
      <c r="AS264" s="33">
        <f>AQ264-AR264</f>
        <v/>
      </c>
      <c r="AT264" s="33">
        <f>IF(AX263&lt;=0,0,ROUND(AX263*(1+'Your debts'!$D$14/1200),2))</f>
        <v/>
      </c>
      <c r="AU264" s="33">
        <f>IF(AT264&lt;=0,0,MIN('Your debts'!$E$14,AT264))</f>
        <v/>
      </c>
      <c r="AV264" s="33">
        <f>AT264-AU264</f>
        <v/>
      </c>
      <c r="AW264" s="33">
        <f>IF('Your debts'!$F$14="",0,MIN(AV264,MAX(0,MAX(0,'Your debts'!$C$19-(G264+L264+Q264+V264+AA264+AF264+AK264+AP264+AU264+AZ264))-(IF(AND('Your debts'!$F$6&lt;&gt;"",'Your debts'!$F$14&lt;&gt;"",'Your debts'!$F$6&lt;'Your debts'!$F$14),H264,0)+IF(AND('Your debts'!$F$7&lt;&gt;"",'Your debts'!$F$14&lt;&gt;"",'Your debts'!$F$7&lt;'Your debts'!$F$14),M264,0)+IF(AND('Your debts'!$F$8&lt;&gt;"",'Your debts'!$F$14&lt;&gt;"",'Your debts'!$F$8&lt;'Your debts'!$F$14),R264,0)+IF(AND('Your debts'!$F$9&lt;&gt;"",'Your debts'!$F$14&lt;&gt;"",'Your debts'!$F$9&lt;'Your debts'!$F$14),W264,0)+IF(AND('Your debts'!$F$10&lt;&gt;"",'Your debts'!$F$14&lt;&gt;"",'Your debts'!$F$10&lt;'Your debts'!$F$14),AB264,0)+IF(AND('Your debts'!$F$11&lt;&gt;"",'Your debts'!$F$14&lt;&gt;"",'Your debts'!$F$11&lt;'Your debts'!$F$14),AG264,0)+IF(AND('Your debts'!$F$12&lt;&gt;"",'Your debts'!$F$14&lt;&gt;"",'Your debts'!$F$12&lt;'Your debts'!$F$14),AL264,0)+IF(AND('Your debts'!$F$13&lt;&gt;"",'Your debts'!$F$14&lt;&gt;"",'Your debts'!$F$13&lt;'Your debts'!$F$14),AQ264,0)+IF(AND('Your debts'!$F$15&lt;&gt;"",'Your debts'!$F$14&lt;&gt;"",'Your debts'!$F$15&lt;'Your debts'!$F$14),BA264,0)))))</f>
        <v/>
      </c>
      <c r="AX264" s="33">
        <f>AV264-AW264</f>
        <v/>
      </c>
      <c r="AY264" s="33">
        <f>IF(BC263&lt;=0,0,ROUND(BC263*(1+'Your debts'!$D$15/1200),2))</f>
        <v/>
      </c>
      <c r="AZ264" s="33">
        <f>IF(AY264&lt;=0,0,MIN('Your debts'!$E$15,AY264))</f>
        <v/>
      </c>
      <c r="BA264" s="33">
        <f>AY264-AZ264</f>
        <v/>
      </c>
      <c r="BB264" s="33">
        <f>IF('Your debts'!$F$15="",0,MIN(BA264,MAX(0,MAX(0,'Your debts'!$C$19-(G264+L264+Q264+V264+AA264+AF264+AK264+AP264+AU264+AZ264))-(IF(AND('Your debts'!$F$6&lt;&gt;"",'Your debts'!$F$15&lt;&gt;"",'Your debts'!$F$6&lt;'Your debts'!$F$15),H264,0)+IF(AND('Your debts'!$F$7&lt;&gt;"",'Your debts'!$F$15&lt;&gt;"",'Your debts'!$F$7&lt;'Your debts'!$F$15),M264,0)+IF(AND('Your debts'!$F$8&lt;&gt;"",'Your debts'!$F$15&lt;&gt;"",'Your debts'!$F$8&lt;'Your debts'!$F$15),R264,0)+IF(AND('Your debts'!$F$9&lt;&gt;"",'Your debts'!$F$15&lt;&gt;"",'Your debts'!$F$9&lt;'Your debts'!$F$15),W264,0)+IF(AND('Your debts'!$F$10&lt;&gt;"",'Your debts'!$F$15&lt;&gt;"",'Your debts'!$F$10&lt;'Your debts'!$F$15),AB264,0)+IF(AND('Your debts'!$F$11&lt;&gt;"",'Your debts'!$F$15&lt;&gt;"",'Your debts'!$F$11&lt;'Your debts'!$F$15),AG264,0)+IF(AND('Your debts'!$F$12&lt;&gt;"",'Your debts'!$F$15&lt;&gt;"",'Your debts'!$F$12&lt;'Your debts'!$F$15),AL264,0)+IF(AND('Your debts'!$F$13&lt;&gt;"",'Your debts'!$F$15&lt;&gt;"",'Your debts'!$F$13&lt;'Your debts'!$F$15),AQ264,0)+IF(AND('Your debts'!$F$14&lt;&gt;"",'Your debts'!$F$15&lt;&gt;"",'Your debts'!$F$14&lt;'Your debts'!$F$15),AV264,0)))))</f>
        <v/>
      </c>
      <c r="BC264" s="33">
        <f>BA264-BB264</f>
        <v/>
      </c>
    </row>
    <row r="265">
      <c r="A265" s="30" t="n">
        <v>250</v>
      </c>
      <c r="B265" s="31">
        <f>EDATE($B$15,250)</f>
        <v/>
      </c>
      <c r="C265" s="32">
        <f>IF(J264&lt;=0,0,F265-J264)+IF(O264&lt;=0,0,K265-O264)+IF(T264&lt;=0,0,P265-T264)+IF(Y264&lt;=0,0,U265-Y264)+IF(AD264&lt;=0,0,Z265-AD264)+IF(AI264&lt;=0,0,AE265-AI264)+IF(AN264&lt;=0,0,AJ265-AN264)+IF(AS264&lt;=0,0,AO265-AS264)+IF(AX264&lt;=0,0,AT265-AX264)+IF(BC264&lt;=0,0,AY265-BC264)</f>
        <v/>
      </c>
      <c r="D265" s="32">
        <f>G265+I265+L265+N265+Q265+S265+V265+X265+AA265+AC265+AF265+AH265+AK265+AM265+AP265+AR265+AU265+AW265+AZ265+BB265</f>
        <v/>
      </c>
      <c r="E265" s="32">
        <f>J265+O265+T265+Y265+AD265+AI265+AN265+AS265+AX265+BC265</f>
        <v/>
      </c>
      <c r="F265" s="33">
        <f>IF(J264&lt;=0,0,ROUND(J264*(1+'Your debts'!$D$6/1200),2))</f>
        <v/>
      </c>
      <c r="G265" s="33">
        <f>IF(F265&lt;=0,0,MIN('Your debts'!$E$6,F265))</f>
        <v/>
      </c>
      <c r="H265" s="33">
        <f>F265-G265</f>
        <v/>
      </c>
      <c r="I265" s="33">
        <f>IF('Your debts'!$F$6="",0,MIN(H265,MAX(0,MAX(0,'Your debts'!$C$19-(G265+L265+Q265+V265+AA265+AF265+AK265+AP265+AU265+AZ265))-(IF(AND('Your debts'!$F$7&lt;&gt;"",'Your debts'!$F$6&lt;&gt;"",'Your debts'!$F$7&lt;'Your debts'!$F$6),M265,0)+IF(AND('Your debts'!$F$8&lt;&gt;"",'Your debts'!$F$6&lt;&gt;"",'Your debts'!$F$8&lt;'Your debts'!$F$6),R265,0)+IF(AND('Your debts'!$F$9&lt;&gt;"",'Your debts'!$F$6&lt;&gt;"",'Your debts'!$F$9&lt;'Your debts'!$F$6),W265,0)+IF(AND('Your debts'!$F$10&lt;&gt;"",'Your debts'!$F$6&lt;&gt;"",'Your debts'!$F$10&lt;'Your debts'!$F$6),AB265,0)+IF(AND('Your debts'!$F$11&lt;&gt;"",'Your debts'!$F$6&lt;&gt;"",'Your debts'!$F$11&lt;'Your debts'!$F$6),AG265,0)+IF(AND('Your debts'!$F$12&lt;&gt;"",'Your debts'!$F$6&lt;&gt;"",'Your debts'!$F$12&lt;'Your debts'!$F$6),AL265,0)+IF(AND('Your debts'!$F$13&lt;&gt;"",'Your debts'!$F$6&lt;&gt;"",'Your debts'!$F$13&lt;'Your debts'!$F$6),AQ265,0)+IF(AND('Your debts'!$F$14&lt;&gt;"",'Your debts'!$F$6&lt;&gt;"",'Your debts'!$F$14&lt;'Your debts'!$F$6),AV265,0)+IF(AND('Your debts'!$F$15&lt;&gt;"",'Your debts'!$F$6&lt;&gt;"",'Your debts'!$F$15&lt;'Your debts'!$F$6),BA265,0)))))</f>
        <v/>
      </c>
      <c r="J265" s="33">
        <f>H265-I265</f>
        <v/>
      </c>
      <c r="K265" s="33">
        <f>IF(O264&lt;=0,0,ROUND(O264*(1+'Your debts'!$D$7/1200),2))</f>
        <v/>
      </c>
      <c r="L265" s="33">
        <f>IF(K265&lt;=0,0,MIN('Your debts'!$E$7,K265))</f>
        <v/>
      </c>
      <c r="M265" s="33">
        <f>K265-L265</f>
        <v/>
      </c>
      <c r="N265" s="33">
        <f>IF('Your debts'!$F$7="",0,MIN(M265,MAX(0,MAX(0,'Your debts'!$C$19-(G265+L265+Q265+V265+AA265+AF265+AK265+AP265+AU265+AZ265))-(IF(AND('Your debts'!$F$6&lt;&gt;"",'Your debts'!$F$7&lt;&gt;"",'Your debts'!$F$6&lt;'Your debts'!$F$7),H265,0)+IF(AND('Your debts'!$F$8&lt;&gt;"",'Your debts'!$F$7&lt;&gt;"",'Your debts'!$F$8&lt;'Your debts'!$F$7),R265,0)+IF(AND('Your debts'!$F$9&lt;&gt;"",'Your debts'!$F$7&lt;&gt;"",'Your debts'!$F$9&lt;'Your debts'!$F$7),W265,0)+IF(AND('Your debts'!$F$10&lt;&gt;"",'Your debts'!$F$7&lt;&gt;"",'Your debts'!$F$10&lt;'Your debts'!$F$7),AB265,0)+IF(AND('Your debts'!$F$11&lt;&gt;"",'Your debts'!$F$7&lt;&gt;"",'Your debts'!$F$11&lt;'Your debts'!$F$7),AG265,0)+IF(AND('Your debts'!$F$12&lt;&gt;"",'Your debts'!$F$7&lt;&gt;"",'Your debts'!$F$12&lt;'Your debts'!$F$7),AL265,0)+IF(AND('Your debts'!$F$13&lt;&gt;"",'Your debts'!$F$7&lt;&gt;"",'Your debts'!$F$13&lt;'Your debts'!$F$7),AQ265,0)+IF(AND('Your debts'!$F$14&lt;&gt;"",'Your debts'!$F$7&lt;&gt;"",'Your debts'!$F$14&lt;'Your debts'!$F$7),AV265,0)+IF(AND('Your debts'!$F$15&lt;&gt;"",'Your debts'!$F$7&lt;&gt;"",'Your debts'!$F$15&lt;'Your debts'!$F$7),BA265,0)))))</f>
        <v/>
      </c>
      <c r="O265" s="33">
        <f>M265-N265</f>
        <v/>
      </c>
      <c r="P265" s="33">
        <f>IF(T264&lt;=0,0,ROUND(T264*(1+'Your debts'!$D$8/1200),2))</f>
        <v/>
      </c>
      <c r="Q265" s="33">
        <f>IF(P265&lt;=0,0,MIN('Your debts'!$E$8,P265))</f>
        <v/>
      </c>
      <c r="R265" s="33">
        <f>P265-Q265</f>
        <v/>
      </c>
      <c r="S265" s="33">
        <f>IF('Your debts'!$F$8="",0,MIN(R265,MAX(0,MAX(0,'Your debts'!$C$19-(G265+L265+Q265+V265+AA265+AF265+AK265+AP265+AU265+AZ265))-(IF(AND('Your debts'!$F$6&lt;&gt;"",'Your debts'!$F$8&lt;&gt;"",'Your debts'!$F$6&lt;'Your debts'!$F$8),H265,0)+IF(AND('Your debts'!$F$7&lt;&gt;"",'Your debts'!$F$8&lt;&gt;"",'Your debts'!$F$7&lt;'Your debts'!$F$8),M265,0)+IF(AND('Your debts'!$F$9&lt;&gt;"",'Your debts'!$F$8&lt;&gt;"",'Your debts'!$F$9&lt;'Your debts'!$F$8),W265,0)+IF(AND('Your debts'!$F$10&lt;&gt;"",'Your debts'!$F$8&lt;&gt;"",'Your debts'!$F$10&lt;'Your debts'!$F$8),AB265,0)+IF(AND('Your debts'!$F$11&lt;&gt;"",'Your debts'!$F$8&lt;&gt;"",'Your debts'!$F$11&lt;'Your debts'!$F$8),AG265,0)+IF(AND('Your debts'!$F$12&lt;&gt;"",'Your debts'!$F$8&lt;&gt;"",'Your debts'!$F$12&lt;'Your debts'!$F$8),AL265,0)+IF(AND('Your debts'!$F$13&lt;&gt;"",'Your debts'!$F$8&lt;&gt;"",'Your debts'!$F$13&lt;'Your debts'!$F$8),AQ265,0)+IF(AND('Your debts'!$F$14&lt;&gt;"",'Your debts'!$F$8&lt;&gt;"",'Your debts'!$F$14&lt;'Your debts'!$F$8),AV265,0)+IF(AND('Your debts'!$F$15&lt;&gt;"",'Your debts'!$F$8&lt;&gt;"",'Your debts'!$F$15&lt;'Your debts'!$F$8),BA265,0)))))</f>
        <v/>
      </c>
      <c r="T265" s="33">
        <f>R265-S265</f>
        <v/>
      </c>
      <c r="U265" s="33">
        <f>IF(Y264&lt;=0,0,ROUND(Y264*(1+'Your debts'!$D$9/1200),2))</f>
        <v/>
      </c>
      <c r="V265" s="33">
        <f>IF(U265&lt;=0,0,MIN('Your debts'!$E$9,U265))</f>
        <v/>
      </c>
      <c r="W265" s="33">
        <f>U265-V265</f>
        <v/>
      </c>
      <c r="X265" s="33">
        <f>IF('Your debts'!$F$9="",0,MIN(W265,MAX(0,MAX(0,'Your debts'!$C$19-(G265+L265+Q265+V265+AA265+AF265+AK265+AP265+AU265+AZ265))-(IF(AND('Your debts'!$F$6&lt;&gt;"",'Your debts'!$F$9&lt;&gt;"",'Your debts'!$F$6&lt;'Your debts'!$F$9),H265,0)+IF(AND('Your debts'!$F$7&lt;&gt;"",'Your debts'!$F$9&lt;&gt;"",'Your debts'!$F$7&lt;'Your debts'!$F$9),M265,0)+IF(AND('Your debts'!$F$8&lt;&gt;"",'Your debts'!$F$9&lt;&gt;"",'Your debts'!$F$8&lt;'Your debts'!$F$9),R265,0)+IF(AND('Your debts'!$F$10&lt;&gt;"",'Your debts'!$F$9&lt;&gt;"",'Your debts'!$F$10&lt;'Your debts'!$F$9),AB265,0)+IF(AND('Your debts'!$F$11&lt;&gt;"",'Your debts'!$F$9&lt;&gt;"",'Your debts'!$F$11&lt;'Your debts'!$F$9),AG265,0)+IF(AND('Your debts'!$F$12&lt;&gt;"",'Your debts'!$F$9&lt;&gt;"",'Your debts'!$F$12&lt;'Your debts'!$F$9),AL265,0)+IF(AND('Your debts'!$F$13&lt;&gt;"",'Your debts'!$F$9&lt;&gt;"",'Your debts'!$F$13&lt;'Your debts'!$F$9),AQ265,0)+IF(AND('Your debts'!$F$14&lt;&gt;"",'Your debts'!$F$9&lt;&gt;"",'Your debts'!$F$14&lt;'Your debts'!$F$9),AV265,0)+IF(AND('Your debts'!$F$15&lt;&gt;"",'Your debts'!$F$9&lt;&gt;"",'Your debts'!$F$15&lt;'Your debts'!$F$9),BA265,0)))))</f>
        <v/>
      </c>
      <c r="Y265" s="33">
        <f>W265-X265</f>
        <v/>
      </c>
      <c r="Z265" s="33">
        <f>IF(AD264&lt;=0,0,ROUND(AD264*(1+'Your debts'!$D$10/1200),2))</f>
        <v/>
      </c>
      <c r="AA265" s="33">
        <f>IF(Z265&lt;=0,0,MIN('Your debts'!$E$10,Z265))</f>
        <v/>
      </c>
      <c r="AB265" s="33">
        <f>Z265-AA265</f>
        <v/>
      </c>
      <c r="AC265" s="33">
        <f>IF('Your debts'!$F$10="",0,MIN(AB265,MAX(0,MAX(0,'Your debts'!$C$19-(G265+L265+Q265+V265+AA265+AF265+AK265+AP265+AU265+AZ265))-(IF(AND('Your debts'!$F$6&lt;&gt;"",'Your debts'!$F$10&lt;&gt;"",'Your debts'!$F$6&lt;'Your debts'!$F$10),H265,0)+IF(AND('Your debts'!$F$7&lt;&gt;"",'Your debts'!$F$10&lt;&gt;"",'Your debts'!$F$7&lt;'Your debts'!$F$10),M265,0)+IF(AND('Your debts'!$F$8&lt;&gt;"",'Your debts'!$F$10&lt;&gt;"",'Your debts'!$F$8&lt;'Your debts'!$F$10),R265,0)+IF(AND('Your debts'!$F$9&lt;&gt;"",'Your debts'!$F$10&lt;&gt;"",'Your debts'!$F$9&lt;'Your debts'!$F$10),W265,0)+IF(AND('Your debts'!$F$11&lt;&gt;"",'Your debts'!$F$10&lt;&gt;"",'Your debts'!$F$11&lt;'Your debts'!$F$10),AG265,0)+IF(AND('Your debts'!$F$12&lt;&gt;"",'Your debts'!$F$10&lt;&gt;"",'Your debts'!$F$12&lt;'Your debts'!$F$10),AL265,0)+IF(AND('Your debts'!$F$13&lt;&gt;"",'Your debts'!$F$10&lt;&gt;"",'Your debts'!$F$13&lt;'Your debts'!$F$10),AQ265,0)+IF(AND('Your debts'!$F$14&lt;&gt;"",'Your debts'!$F$10&lt;&gt;"",'Your debts'!$F$14&lt;'Your debts'!$F$10),AV265,0)+IF(AND('Your debts'!$F$15&lt;&gt;"",'Your debts'!$F$10&lt;&gt;"",'Your debts'!$F$15&lt;'Your debts'!$F$10),BA265,0)))))</f>
        <v/>
      </c>
      <c r="AD265" s="33">
        <f>AB265-AC265</f>
        <v/>
      </c>
      <c r="AE265" s="33">
        <f>IF(AI264&lt;=0,0,ROUND(AI264*(1+'Your debts'!$D$11/1200),2))</f>
        <v/>
      </c>
      <c r="AF265" s="33">
        <f>IF(AE265&lt;=0,0,MIN('Your debts'!$E$11,AE265))</f>
        <v/>
      </c>
      <c r="AG265" s="33">
        <f>AE265-AF265</f>
        <v/>
      </c>
      <c r="AH265" s="33">
        <f>IF('Your debts'!$F$11="",0,MIN(AG265,MAX(0,MAX(0,'Your debts'!$C$19-(G265+L265+Q265+V265+AA265+AF265+AK265+AP265+AU265+AZ265))-(IF(AND('Your debts'!$F$6&lt;&gt;"",'Your debts'!$F$11&lt;&gt;"",'Your debts'!$F$6&lt;'Your debts'!$F$11),H265,0)+IF(AND('Your debts'!$F$7&lt;&gt;"",'Your debts'!$F$11&lt;&gt;"",'Your debts'!$F$7&lt;'Your debts'!$F$11),M265,0)+IF(AND('Your debts'!$F$8&lt;&gt;"",'Your debts'!$F$11&lt;&gt;"",'Your debts'!$F$8&lt;'Your debts'!$F$11),R265,0)+IF(AND('Your debts'!$F$9&lt;&gt;"",'Your debts'!$F$11&lt;&gt;"",'Your debts'!$F$9&lt;'Your debts'!$F$11),W265,0)+IF(AND('Your debts'!$F$10&lt;&gt;"",'Your debts'!$F$11&lt;&gt;"",'Your debts'!$F$10&lt;'Your debts'!$F$11),AB265,0)+IF(AND('Your debts'!$F$12&lt;&gt;"",'Your debts'!$F$11&lt;&gt;"",'Your debts'!$F$12&lt;'Your debts'!$F$11),AL265,0)+IF(AND('Your debts'!$F$13&lt;&gt;"",'Your debts'!$F$11&lt;&gt;"",'Your debts'!$F$13&lt;'Your debts'!$F$11),AQ265,0)+IF(AND('Your debts'!$F$14&lt;&gt;"",'Your debts'!$F$11&lt;&gt;"",'Your debts'!$F$14&lt;'Your debts'!$F$11),AV265,0)+IF(AND('Your debts'!$F$15&lt;&gt;"",'Your debts'!$F$11&lt;&gt;"",'Your debts'!$F$15&lt;'Your debts'!$F$11),BA265,0)))))</f>
        <v/>
      </c>
      <c r="AI265" s="33">
        <f>AG265-AH265</f>
        <v/>
      </c>
      <c r="AJ265" s="33">
        <f>IF(AN264&lt;=0,0,ROUND(AN264*(1+'Your debts'!$D$12/1200),2))</f>
        <v/>
      </c>
      <c r="AK265" s="33">
        <f>IF(AJ265&lt;=0,0,MIN('Your debts'!$E$12,AJ265))</f>
        <v/>
      </c>
      <c r="AL265" s="33">
        <f>AJ265-AK265</f>
        <v/>
      </c>
      <c r="AM265" s="33">
        <f>IF('Your debts'!$F$12="",0,MIN(AL265,MAX(0,MAX(0,'Your debts'!$C$19-(G265+L265+Q265+V265+AA265+AF265+AK265+AP265+AU265+AZ265))-(IF(AND('Your debts'!$F$6&lt;&gt;"",'Your debts'!$F$12&lt;&gt;"",'Your debts'!$F$6&lt;'Your debts'!$F$12),H265,0)+IF(AND('Your debts'!$F$7&lt;&gt;"",'Your debts'!$F$12&lt;&gt;"",'Your debts'!$F$7&lt;'Your debts'!$F$12),M265,0)+IF(AND('Your debts'!$F$8&lt;&gt;"",'Your debts'!$F$12&lt;&gt;"",'Your debts'!$F$8&lt;'Your debts'!$F$12),R265,0)+IF(AND('Your debts'!$F$9&lt;&gt;"",'Your debts'!$F$12&lt;&gt;"",'Your debts'!$F$9&lt;'Your debts'!$F$12),W265,0)+IF(AND('Your debts'!$F$10&lt;&gt;"",'Your debts'!$F$12&lt;&gt;"",'Your debts'!$F$10&lt;'Your debts'!$F$12),AB265,0)+IF(AND('Your debts'!$F$11&lt;&gt;"",'Your debts'!$F$12&lt;&gt;"",'Your debts'!$F$11&lt;'Your debts'!$F$12),AG265,0)+IF(AND('Your debts'!$F$13&lt;&gt;"",'Your debts'!$F$12&lt;&gt;"",'Your debts'!$F$13&lt;'Your debts'!$F$12),AQ265,0)+IF(AND('Your debts'!$F$14&lt;&gt;"",'Your debts'!$F$12&lt;&gt;"",'Your debts'!$F$14&lt;'Your debts'!$F$12),AV265,0)+IF(AND('Your debts'!$F$15&lt;&gt;"",'Your debts'!$F$12&lt;&gt;"",'Your debts'!$F$15&lt;'Your debts'!$F$12),BA265,0)))))</f>
        <v/>
      </c>
      <c r="AN265" s="33">
        <f>AL265-AM265</f>
        <v/>
      </c>
      <c r="AO265" s="33">
        <f>IF(AS264&lt;=0,0,ROUND(AS264*(1+'Your debts'!$D$13/1200),2))</f>
        <v/>
      </c>
      <c r="AP265" s="33">
        <f>IF(AO265&lt;=0,0,MIN('Your debts'!$E$13,AO265))</f>
        <v/>
      </c>
      <c r="AQ265" s="33">
        <f>AO265-AP265</f>
        <v/>
      </c>
      <c r="AR265" s="33">
        <f>IF('Your debts'!$F$13="",0,MIN(AQ265,MAX(0,MAX(0,'Your debts'!$C$19-(G265+L265+Q265+V265+AA265+AF265+AK265+AP265+AU265+AZ265))-(IF(AND('Your debts'!$F$6&lt;&gt;"",'Your debts'!$F$13&lt;&gt;"",'Your debts'!$F$6&lt;'Your debts'!$F$13),H265,0)+IF(AND('Your debts'!$F$7&lt;&gt;"",'Your debts'!$F$13&lt;&gt;"",'Your debts'!$F$7&lt;'Your debts'!$F$13),M265,0)+IF(AND('Your debts'!$F$8&lt;&gt;"",'Your debts'!$F$13&lt;&gt;"",'Your debts'!$F$8&lt;'Your debts'!$F$13),R265,0)+IF(AND('Your debts'!$F$9&lt;&gt;"",'Your debts'!$F$13&lt;&gt;"",'Your debts'!$F$9&lt;'Your debts'!$F$13),W265,0)+IF(AND('Your debts'!$F$10&lt;&gt;"",'Your debts'!$F$13&lt;&gt;"",'Your debts'!$F$10&lt;'Your debts'!$F$13),AB265,0)+IF(AND('Your debts'!$F$11&lt;&gt;"",'Your debts'!$F$13&lt;&gt;"",'Your debts'!$F$11&lt;'Your debts'!$F$13),AG265,0)+IF(AND('Your debts'!$F$12&lt;&gt;"",'Your debts'!$F$13&lt;&gt;"",'Your debts'!$F$12&lt;'Your debts'!$F$13),AL265,0)+IF(AND('Your debts'!$F$14&lt;&gt;"",'Your debts'!$F$13&lt;&gt;"",'Your debts'!$F$14&lt;'Your debts'!$F$13),AV265,0)+IF(AND('Your debts'!$F$15&lt;&gt;"",'Your debts'!$F$13&lt;&gt;"",'Your debts'!$F$15&lt;'Your debts'!$F$13),BA265,0)))))</f>
        <v/>
      </c>
      <c r="AS265" s="33">
        <f>AQ265-AR265</f>
        <v/>
      </c>
      <c r="AT265" s="33">
        <f>IF(AX264&lt;=0,0,ROUND(AX264*(1+'Your debts'!$D$14/1200),2))</f>
        <v/>
      </c>
      <c r="AU265" s="33">
        <f>IF(AT265&lt;=0,0,MIN('Your debts'!$E$14,AT265))</f>
        <v/>
      </c>
      <c r="AV265" s="33">
        <f>AT265-AU265</f>
        <v/>
      </c>
      <c r="AW265" s="33">
        <f>IF('Your debts'!$F$14="",0,MIN(AV265,MAX(0,MAX(0,'Your debts'!$C$19-(G265+L265+Q265+V265+AA265+AF265+AK265+AP265+AU265+AZ265))-(IF(AND('Your debts'!$F$6&lt;&gt;"",'Your debts'!$F$14&lt;&gt;"",'Your debts'!$F$6&lt;'Your debts'!$F$14),H265,0)+IF(AND('Your debts'!$F$7&lt;&gt;"",'Your debts'!$F$14&lt;&gt;"",'Your debts'!$F$7&lt;'Your debts'!$F$14),M265,0)+IF(AND('Your debts'!$F$8&lt;&gt;"",'Your debts'!$F$14&lt;&gt;"",'Your debts'!$F$8&lt;'Your debts'!$F$14),R265,0)+IF(AND('Your debts'!$F$9&lt;&gt;"",'Your debts'!$F$14&lt;&gt;"",'Your debts'!$F$9&lt;'Your debts'!$F$14),W265,0)+IF(AND('Your debts'!$F$10&lt;&gt;"",'Your debts'!$F$14&lt;&gt;"",'Your debts'!$F$10&lt;'Your debts'!$F$14),AB265,0)+IF(AND('Your debts'!$F$11&lt;&gt;"",'Your debts'!$F$14&lt;&gt;"",'Your debts'!$F$11&lt;'Your debts'!$F$14),AG265,0)+IF(AND('Your debts'!$F$12&lt;&gt;"",'Your debts'!$F$14&lt;&gt;"",'Your debts'!$F$12&lt;'Your debts'!$F$14),AL265,0)+IF(AND('Your debts'!$F$13&lt;&gt;"",'Your debts'!$F$14&lt;&gt;"",'Your debts'!$F$13&lt;'Your debts'!$F$14),AQ265,0)+IF(AND('Your debts'!$F$15&lt;&gt;"",'Your debts'!$F$14&lt;&gt;"",'Your debts'!$F$15&lt;'Your debts'!$F$14),BA265,0)))))</f>
        <v/>
      </c>
      <c r="AX265" s="33">
        <f>AV265-AW265</f>
        <v/>
      </c>
      <c r="AY265" s="33">
        <f>IF(BC264&lt;=0,0,ROUND(BC264*(1+'Your debts'!$D$15/1200),2))</f>
        <v/>
      </c>
      <c r="AZ265" s="33">
        <f>IF(AY265&lt;=0,0,MIN('Your debts'!$E$15,AY265))</f>
        <v/>
      </c>
      <c r="BA265" s="33">
        <f>AY265-AZ265</f>
        <v/>
      </c>
      <c r="BB265" s="33">
        <f>IF('Your debts'!$F$15="",0,MIN(BA265,MAX(0,MAX(0,'Your debts'!$C$19-(G265+L265+Q265+V265+AA265+AF265+AK265+AP265+AU265+AZ265))-(IF(AND('Your debts'!$F$6&lt;&gt;"",'Your debts'!$F$15&lt;&gt;"",'Your debts'!$F$6&lt;'Your debts'!$F$15),H265,0)+IF(AND('Your debts'!$F$7&lt;&gt;"",'Your debts'!$F$15&lt;&gt;"",'Your debts'!$F$7&lt;'Your debts'!$F$15),M265,0)+IF(AND('Your debts'!$F$8&lt;&gt;"",'Your debts'!$F$15&lt;&gt;"",'Your debts'!$F$8&lt;'Your debts'!$F$15),R265,0)+IF(AND('Your debts'!$F$9&lt;&gt;"",'Your debts'!$F$15&lt;&gt;"",'Your debts'!$F$9&lt;'Your debts'!$F$15),W265,0)+IF(AND('Your debts'!$F$10&lt;&gt;"",'Your debts'!$F$15&lt;&gt;"",'Your debts'!$F$10&lt;'Your debts'!$F$15),AB265,0)+IF(AND('Your debts'!$F$11&lt;&gt;"",'Your debts'!$F$15&lt;&gt;"",'Your debts'!$F$11&lt;'Your debts'!$F$15),AG265,0)+IF(AND('Your debts'!$F$12&lt;&gt;"",'Your debts'!$F$15&lt;&gt;"",'Your debts'!$F$12&lt;'Your debts'!$F$15),AL265,0)+IF(AND('Your debts'!$F$13&lt;&gt;"",'Your debts'!$F$15&lt;&gt;"",'Your debts'!$F$13&lt;'Your debts'!$F$15),AQ265,0)+IF(AND('Your debts'!$F$14&lt;&gt;"",'Your debts'!$F$15&lt;&gt;"",'Your debts'!$F$14&lt;'Your debts'!$F$15),AV265,0)))))</f>
        <v/>
      </c>
      <c r="BC265" s="33">
        <f>BA265-BB265</f>
        <v/>
      </c>
    </row>
    <row r="266">
      <c r="A266" s="30" t="n">
        <v>251</v>
      </c>
      <c r="B266" s="31">
        <f>EDATE($B$15,251)</f>
        <v/>
      </c>
      <c r="C266" s="32">
        <f>IF(J265&lt;=0,0,F266-J265)+IF(O265&lt;=0,0,K266-O265)+IF(T265&lt;=0,0,P266-T265)+IF(Y265&lt;=0,0,U266-Y265)+IF(AD265&lt;=0,0,Z266-AD265)+IF(AI265&lt;=0,0,AE266-AI265)+IF(AN265&lt;=0,0,AJ266-AN265)+IF(AS265&lt;=0,0,AO266-AS265)+IF(AX265&lt;=0,0,AT266-AX265)+IF(BC265&lt;=0,0,AY266-BC265)</f>
        <v/>
      </c>
      <c r="D266" s="32">
        <f>G266+I266+L266+N266+Q266+S266+V266+X266+AA266+AC266+AF266+AH266+AK266+AM266+AP266+AR266+AU266+AW266+AZ266+BB266</f>
        <v/>
      </c>
      <c r="E266" s="32">
        <f>J266+O266+T266+Y266+AD266+AI266+AN266+AS266+AX266+BC266</f>
        <v/>
      </c>
      <c r="F266" s="33">
        <f>IF(J265&lt;=0,0,ROUND(J265*(1+'Your debts'!$D$6/1200),2))</f>
        <v/>
      </c>
      <c r="G266" s="33">
        <f>IF(F266&lt;=0,0,MIN('Your debts'!$E$6,F266))</f>
        <v/>
      </c>
      <c r="H266" s="33">
        <f>F266-G266</f>
        <v/>
      </c>
      <c r="I266" s="33">
        <f>IF('Your debts'!$F$6="",0,MIN(H266,MAX(0,MAX(0,'Your debts'!$C$19-(G266+L266+Q266+V266+AA266+AF266+AK266+AP266+AU266+AZ266))-(IF(AND('Your debts'!$F$7&lt;&gt;"",'Your debts'!$F$6&lt;&gt;"",'Your debts'!$F$7&lt;'Your debts'!$F$6),M266,0)+IF(AND('Your debts'!$F$8&lt;&gt;"",'Your debts'!$F$6&lt;&gt;"",'Your debts'!$F$8&lt;'Your debts'!$F$6),R266,0)+IF(AND('Your debts'!$F$9&lt;&gt;"",'Your debts'!$F$6&lt;&gt;"",'Your debts'!$F$9&lt;'Your debts'!$F$6),W266,0)+IF(AND('Your debts'!$F$10&lt;&gt;"",'Your debts'!$F$6&lt;&gt;"",'Your debts'!$F$10&lt;'Your debts'!$F$6),AB266,0)+IF(AND('Your debts'!$F$11&lt;&gt;"",'Your debts'!$F$6&lt;&gt;"",'Your debts'!$F$11&lt;'Your debts'!$F$6),AG266,0)+IF(AND('Your debts'!$F$12&lt;&gt;"",'Your debts'!$F$6&lt;&gt;"",'Your debts'!$F$12&lt;'Your debts'!$F$6),AL266,0)+IF(AND('Your debts'!$F$13&lt;&gt;"",'Your debts'!$F$6&lt;&gt;"",'Your debts'!$F$13&lt;'Your debts'!$F$6),AQ266,0)+IF(AND('Your debts'!$F$14&lt;&gt;"",'Your debts'!$F$6&lt;&gt;"",'Your debts'!$F$14&lt;'Your debts'!$F$6),AV266,0)+IF(AND('Your debts'!$F$15&lt;&gt;"",'Your debts'!$F$6&lt;&gt;"",'Your debts'!$F$15&lt;'Your debts'!$F$6),BA266,0)))))</f>
        <v/>
      </c>
      <c r="J266" s="33">
        <f>H266-I266</f>
        <v/>
      </c>
      <c r="K266" s="33">
        <f>IF(O265&lt;=0,0,ROUND(O265*(1+'Your debts'!$D$7/1200),2))</f>
        <v/>
      </c>
      <c r="L266" s="33">
        <f>IF(K266&lt;=0,0,MIN('Your debts'!$E$7,K266))</f>
        <v/>
      </c>
      <c r="M266" s="33">
        <f>K266-L266</f>
        <v/>
      </c>
      <c r="N266" s="33">
        <f>IF('Your debts'!$F$7="",0,MIN(M266,MAX(0,MAX(0,'Your debts'!$C$19-(G266+L266+Q266+V266+AA266+AF266+AK266+AP266+AU266+AZ266))-(IF(AND('Your debts'!$F$6&lt;&gt;"",'Your debts'!$F$7&lt;&gt;"",'Your debts'!$F$6&lt;'Your debts'!$F$7),H266,0)+IF(AND('Your debts'!$F$8&lt;&gt;"",'Your debts'!$F$7&lt;&gt;"",'Your debts'!$F$8&lt;'Your debts'!$F$7),R266,0)+IF(AND('Your debts'!$F$9&lt;&gt;"",'Your debts'!$F$7&lt;&gt;"",'Your debts'!$F$9&lt;'Your debts'!$F$7),W266,0)+IF(AND('Your debts'!$F$10&lt;&gt;"",'Your debts'!$F$7&lt;&gt;"",'Your debts'!$F$10&lt;'Your debts'!$F$7),AB266,0)+IF(AND('Your debts'!$F$11&lt;&gt;"",'Your debts'!$F$7&lt;&gt;"",'Your debts'!$F$11&lt;'Your debts'!$F$7),AG266,0)+IF(AND('Your debts'!$F$12&lt;&gt;"",'Your debts'!$F$7&lt;&gt;"",'Your debts'!$F$12&lt;'Your debts'!$F$7),AL266,0)+IF(AND('Your debts'!$F$13&lt;&gt;"",'Your debts'!$F$7&lt;&gt;"",'Your debts'!$F$13&lt;'Your debts'!$F$7),AQ266,0)+IF(AND('Your debts'!$F$14&lt;&gt;"",'Your debts'!$F$7&lt;&gt;"",'Your debts'!$F$14&lt;'Your debts'!$F$7),AV266,0)+IF(AND('Your debts'!$F$15&lt;&gt;"",'Your debts'!$F$7&lt;&gt;"",'Your debts'!$F$15&lt;'Your debts'!$F$7),BA266,0)))))</f>
        <v/>
      </c>
      <c r="O266" s="33">
        <f>M266-N266</f>
        <v/>
      </c>
      <c r="P266" s="33">
        <f>IF(T265&lt;=0,0,ROUND(T265*(1+'Your debts'!$D$8/1200),2))</f>
        <v/>
      </c>
      <c r="Q266" s="33">
        <f>IF(P266&lt;=0,0,MIN('Your debts'!$E$8,P266))</f>
        <v/>
      </c>
      <c r="R266" s="33">
        <f>P266-Q266</f>
        <v/>
      </c>
      <c r="S266" s="33">
        <f>IF('Your debts'!$F$8="",0,MIN(R266,MAX(0,MAX(0,'Your debts'!$C$19-(G266+L266+Q266+V266+AA266+AF266+AK266+AP266+AU266+AZ266))-(IF(AND('Your debts'!$F$6&lt;&gt;"",'Your debts'!$F$8&lt;&gt;"",'Your debts'!$F$6&lt;'Your debts'!$F$8),H266,0)+IF(AND('Your debts'!$F$7&lt;&gt;"",'Your debts'!$F$8&lt;&gt;"",'Your debts'!$F$7&lt;'Your debts'!$F$8),M266,0)+IF(AND('Your debts'!$F$9&lt;&gt;"",'Your debts'!$F$8&lt;&gt;"",'Your debts'!$F$9&lt;'Your debts'!$F$8),W266,0)+IF(AND('Your debts'!$F$10&lt;&gt;"",'Your debts'!$F$8&lt;&gt;"",'Your debts'!$F$10&lt;'Your debts'!$F$8),AB266,0)+IF(AND('Your debts'!$F$11&lt;&gt;"",'Your debts'!$F$8&lt;&gt;"",'Your debts'!$F$11&lt;'Your debts'!$F$8),AG266,0)+IF(AND('Your debts'!$F$12&lt;&gt;"",'Your debts'!$F$8&lt;&gt;"",'Your debts'!$F$12&lt;'Your debts'!$F$8),AL266,0)+IF(AND('Your debts'!$F$13&lt;&gt;"",'Your debts'!$F$8&lt;&gt;"",'Your debts'!$F$13&lt;'Your debts'!$F$8),AQ266,0)+IF(AND('Your debts'!$F$14&lt;&gt;"",'Your debts'!$F$8&lt;&gt;"",'Your debts'!$F$14&lt;'Your debts'!$F$8),AV266,0)+IF(AND('Your debts'!$F$15&lt;&gt;"",'Your debts'!$F$8&lt;&gt;"",'Your debts'!$F$15&lt;'Your debts'!$F$8),BA266,0)))))</f>
        <v/>
      </c>
      <c r="T266" s="33">
        <f>R266-S266</f>
        <v/>
      </c>
      <c r="U266" s="33">
        <f>IF(Y265&lt;=0,0,ROUND(Y265*(1+'Your debts'!$D$9/1200),2))</f>
        <v/>
      </c>
      <c r="V266" s="33">
        <f>IF(U266&lt;=0,0,MIN('Your debts'!$E$9,U266))</f>
        <v/>
      </c>
      <c r="W266" s="33">
        <f>U266-V266</f>
        <v/>
      </c>
      <c r="X266" s="33">
        <f>IF('Your debts'!$F$9="",0,MIN(W266,MAX(0,MAX(0,'Your debts'!$C$19-(G266+L266+Q266+V266+AA266+AF266+AK266+AP266+AU266+AZ266))-(IF(AND('Your debts'!$F$6&lt;&gt;"",'Your debts'!$F$9&lt;&gt;"",'Your debts'!$F$6&lt;'Your debts'!$F$9),H266,0)+IF(AND('Your debts'!$F$7&lt;&gt;"",'Your debts'!$F$9&lt;&gt;"",'Your debts'!$F$7&lt;'Your debts'!$F$9),M266,0)+IF(AND('Your debts'!$F$8&lt;&gt;"",'Your debts'!$F$9&lt;&gt;"",'Your debts'!$F$8&lt;'Your debts'!$F$9),R266,0)+IF(AND('Your debts'!$F$10&lt;&gt;"",'Your debts'!$F$9&lt;&gt;"",'Your debts'!$F$10&lt;'Your debts'!$F$9),AB266,0)+IF(AND('Your debts'!$F$11&lt;&gt;"",'Your debts'!$F$9&lt;&gt;"",'Your debts'!$F$11&lt;'Your debts'!$F$9),AG266,0)+IF(AND('Your debts'!$F$12&lt;&gt;"",'Your debts'!$F$9&lt;&gt;"",'Your debts'!$F$12&lt;'Your debts'!$F$9),AL266,0)+IF(AND('Your debts'!$F$13&lt;&gt;"",'Your debts'!$F$9&lt;&gt;"",'Your debts'!$F$13&lt;'Your debts'!$F$9),AQ266,0)+IF(AND('Your debts'!$F$14&lt;&gt;"",'Your debts'!$F$9&lt;&gt;"",'Your debts'!$F$14&lt;'Your debts'!$F$9),AV266,0)+IF(AND('Your debts'!$F$15&lt;&gt;"",'Your debts'!$F$9&lt;&gt;"",'Your debts'!$F$15&lt;'Your debts'!$F$9),BA266,0)))))</f>
        <v/>
      </c>
      <c r="Y266" s="33">
        <f>W266-X266</f>
        <v/>
      </c>
      <c r="Z266" s="33">
        <f>IF(AD265&lt;=0,0,ROUND(AD265*(1+'Your debts'!$D$10/1200),2))</f>
        <v/>
      </c>
      <c r="AA266" s="33">
        <f>IF(Z266&lt;=0,0,MIN('Your debts'!$E$10,Z266))</f>
        <v/>
      </c>
      <c r="AB266" s="33">
        <f>Z266-AA266</f>
        <v/>
      </c>
      <c r="AC266" s="33">
        <f>IF('Your debts'!$F$10="",0,MIN(AB266,MAX(0,MAX(0,'Your debts'!$C$19-(G266+L266+Q266+V266+AA266+AF266+AK266+AP266+AU266+AZ266))-(IF(AND('Your debts'!$F$6&lt;&gt;"",'Your debts'!$F$10&lt;&gt;"",'Your debts'!$F$6&lt;'Your debts'!$F$10),H266,0)+IF(AND('Your debts'!$F$7&lt;&gt;"",'Your debts'!$F$10&lt;&gt;"",'Your debts'!$F$7&lt;'Your debts'!$F$10),M266,0)+IF(AND('Your debts'!$F$8&lt;&gt;"",'Your debts'!$F$10&lt;&gt;"",'Your debts'!$F$8&lt;'Your debts'!$F$10),R266,0)+IF(AND('Your debts'!$F$9&lt;&gt;"",'Your debts'!$F$10&lt;&gt;"",'Your debts'!$F$9&lt;'Your debts'!$F$10),W266,0)+IF(AND('Your debts'!$F$11&lt;&gt;"",'Your debts'!$F$10&lt;&gt;"",'Your debts'!$F$11&lt;'Your debts'!$F$10),AG266,0)+IF(AND('Your debts'!$F$12&lt;&gt;"",'Your debts'!$F$10&lt;&gt;"",'Your debts'!$F$12&lt;'Your debts'!$F$10),AL266,0)+IF(AND('Your debts'!$F$13&lt;&gt;"",'Your debts'!$F$10&lt;&gt;"",'Your debts'!$F$13&lt;'Your debts'!$F$10),AQ266,0)+IF(AND('Your debts'!$F$14&lt;&gt;"",'Your debts'!$F$10&lt;&gt;"",'Your debts'!$F$14&lt;'Your debts'!$F$10),AV266,0)+IF(AND('Your debts'!$F$15&lt;&gt;"",'Your debts'!$F$10&lt;&gt;"",'Your debts'!$F$15&lt;'Your debts'!$F$10),BA266,0)))))</f>
        <v/>
      </c>
      <c r="AD266" s="33">
        <f>AB266-AC266</f>
        <v/>
      </c>
      <c r="AE266" s="33">
        <f>IF(AI265&lt;=0,0,ROUND(AI265*(1+'Your debts'!$D$11/1200),2))</f>
        <v/>
      </c>
      <c r="AF266" s="33">
        <f>IF(AE266&lt;=0,0,MIN('Your debts'!$E$11,AE266))</f>
        <v/>
      </c>
      <c r="AG266" s="33">
        <f>AE266-AF266</f>
        <v/>
      </c>
      <c r="AH266" s="33">
        <f>IF('Your debts'!$F$11="",0,MIN(AG266,MAX(0,MAX(0,'Your debts'!$C$19-(G266+L266+Q266+V266+AA266+AF266+AK266+AP266+AU266+AZ266))-(IF(AND('Your debts'!$F$6&lt;&gt;"",'Your debts'!$F$11&lt;&gt;"",'Your debts'!$F$6&lt;'Your debts'!$F$11),H266,0)+IF(AND('Your debts'!$F$7&lt;&gt;"",'Your debts'!$F$11&lt;&gt;"",'Your debts'!$F$7&lt;'Your debts'!$F$11),M266,0)+IF(AND('Your debts'!$F$8&lt;&gt;"",'Your debts'!$F$11&lt;&gt;"",'Your debts'!$F$8&lt;'Your debts'!$F$11),R266,0)+IF(AND('Your debts'!$F$9&lt;&gt;"",'Your debts'!$F$11&lt;&gt;"",'Your debts'!$F$9&lt;'Your debts'!$F$11),W266,0)+IF(AND('Your debts'!$F$10&lt;&gt;"",'Your debts'!$F$11&lt;&gt;"",'Your debts'!$F$10&lt;'Your debts'!$F$11),AB266,0)+IF(AND('Your debts'!$F$12&lt;&gt;"",'Your debts'!$F$11&lt;&gt;"",'Your debts'!$F$12&lt;'Your debts'!$F$11),AL266,0)+IF(AND('Your debts'!$F$13&lt;&gt;"",'Your debts'!$F$11&lt;&gt;"",'Your debts'!$F$13&lt;'Your debts'!$F$11),AQ266,0)+IF(AND('Your debts'!$F$14&lt;&gt;"",'Your debts'!$F$11&lt;&gt;"",'Your debts'!$F$14&lt;'Your debts'!$F$11),AV266,0)+IF(AND('Your debts'!$F$15&lt;&gt;"",'Your debts'!$F$11&lt;&gt;"",'Your debts'!$F$15&lt;'Your debts'!$F$11),BA266,0)))))</f>
        <v/>
      </c>
      <c r="AI266" s="33">
        <f>AG266-AH266</f>
        <v/>
      </c>
      <c r="AJ266" s="33">
        <f>IF(AN265&lt;=0,0,ROUND(AN265*(1+'Your debts'!$D$12/1200),2))</f>
        <v/>
      </c>
      <c r="AK266" s="33">
        <f>IF(AJ266&lt;=0,0,MIN('Your debts'!$E$12,AJ266))</f>
        <v/>
      </c>
      <c r="AL266" s="33">
        <f>AJ266-AK266</f>
        <v/>
      </c>
      <c r="AM266" s="33">
        <f>IF('Your debts'!$F$12="",0,MIN(AL266,MAX(0,MAX(0,'Your debts'!$C$19-(G266+L266+Q266+V266+AA266+AF266+AK266+AP266+AU266+AZ266))-(IF(AND('Your debts'!$F$6&lt;&gt;"",'Your debts'!$F$12&lt;&gt;"",'Your debts'!$F$6&lt;'Your debts'!$F$12),H266,0)+IF(AND('Your debts'!$F$7&lt;&gt;"",'Your debts'!$F$12&lt;&gt;"",'Your debts'!$F$7&lt;'Your debts'!$F$12),M266,0)+IF(AND('Your debts'!$F$8&lt;&gt;"",'Your debts'!$F$12&lt;&gt;"",'Your debts'!$F$8&lt;'Your debts'!$F$12),R266,0)+IF(AND('Your debts'!$F$9&lt;&gt;"",'Your debts'!$F$12&lt;&gt;"",'Your debts'!$F$9&lt;'Your debts'!$F$12),W266,0)+IF(AND('Your debts'!$F$10&lt;&gt;"",'Your debts'!$F$12&lt;&gt;"",'Your debts'!$F$10&lt;'Your debts'!$F$12),AB266,0)+IF(AND('Your debts'!$F$11&lt;&gt;"",'Your debts'!$F$12&lt;&gt;"",'Your debts'!$F$11&lt;'Your debts'!$F$12),AG266,0)+IF(AND('Your debts'!$F$13&lt;&gt;"",'Your debts'!$F$12&lt;&gt;"",'Your debts'!$F$13&lt;'Your debts'!$F$12),AQ266,0)+IF(AND('Your debts'!$F$14&lt;&gt;"",'Your debts'!$F$12&lt;&gt;"",'Your debts'!$F$14&lt;'Your debts'!$F$12),AV266,0)+IF(AND('Your debts'!$F$15&lt;&gt;"",'Your debts'!$F$12&lt;&gt;"",'Your debts'!$F$15&lt;'Your debts'!$F$12),BA266,0)))))</f>
        <v/>
      </c>
      <c r="AN266" s="33">
        <f>AL266-AM266</f>
        <v/>
      </c>
      <c r="AO266" s="33">
        <f>IF(AS265&lt;=0,0,ROUND(AS265*(1+'Your debts'!$D$13/1200),2))</f>
        <v/>
      </c>
      <c r="AP266" s="33">
        <f>IF(AO266&lt;=0,0,MIN('Your debts'!$E$13,AO266))</f>
        <v/>
      </c>
      <c r="AQ266" s="33">
        <f>AO266-AP266</f>
        <v/>
      </c>
      <c r="AR266" s="33">
        <f>IF('Your debts'!$F$13="",0,MIN(AQ266,MAX(0,MAX(0,'Your debts'!$C$19-(G266+L266+Q266+V266+AA266+AF266+AK266+AP266+AU266+AZ266))-(IF(AND('Your debts'!$F$6&lt;&gt;"",'Your debts'!$F$13&lt;&gt;"",'Your debts'!$F$6&lt;'Your debts'!$F$13),H266,0)+IF(AND('Your debts'!$F$7&lt;&gt;"",'Your debts'!$F$13&lt;&gt;"",'Your debts'!$F$7&lt;'Your debts'!$F$13),M266,0)+IF(AND('Your debts'!$F$8&lt;&gt;"",'Your debts'!$F$13&lt;&gt;"",'Your debts'!$F$8&lt;'Your debts'!$F$13),R266,0)+IF(AND('Your debts'!$F$9&lt;&gt;"",'Your debts'!$F$13&lt;&gt;"",'Your debts'!$F$9&lt;'Your debts'!$F$13),W266,0)+IF(AND('Your debts'!$F$10&lt;&gt;"",'Your debts'!$F$13&lt;&gt;"",'Your debts'!$F$10&lt;'Your debts'!$F$13),AB266,0)+IF(AND('Your debts'!$F$11&lt;&gt;"",'Your debts'!$F$13&lt;&gt;"",'Your debts'!$F$11&lt;'Your debts'!$F$13),AG266,0)+IF(AND('Your debts'!$F$12&lt;&gt;"",'Your debts'!$F$13&lt;&gt;"",'Your debts'!$F$12&lt;'Your debts'!$F$13),AL266,0)+IF(AND('Your debts'!$F$14&lt;&gt;"",'Your debts'!$F$13&lt;&gt;"",'Your debts'!$F$14&lt;'Your debts'!$F$13),AV266,0)+IF(AND('Your debts'!$F$15&lt;&gt;"",'Your debts'!$F$13&lt;&gt;"",'Your debts'!$F$15&lt;'Your debts'!$F$13),BA266,0)))))</f>
        <v/>
      </c>
      <c r="AS266" s="33">
        <f>AQ266-AR266</f>
        <v/>
      </c>
      <c r="AT266" s="33">
        <f>IF(AX265&lt;=0,0,ROUND(AX265*(1+'Your debts'!$D$14/1200),2))</f>
        <v/>
      </c>
      <c r="AU266" s="33">
        <f>IF(AT266&lt;=0,0,MIN('Your debts'!$E$14,AT266))</f>
        <v/>
      </c>
      <c r="AV266" s="33">
        <f>AT266-AU266</f>
        <v/>
      </c>
      <c r="AW266" s="33">
        <f>IF('Your debts'!$F$14="",0,MIN(AV266,MAX(0,MAX(0,'Your debts'!$C$19-(G266+L266+Q266+V266+AA266+AF266+AK266+AP266+AU266+AZ266))-(IF(AND('Your debts'!$F$6&lt;&gt;"",'Your debts'!$F$14&lt;&gt;"",'Your debts'!$F$6&lt;'Your debts'!$F$14),H266,0)+IF(AND('Your debts'!$F$7&lt;&gt;"",'Your debts'!$F$14&lt;&gt;"",'Your debts'!$F$7&lt;'Your debts'!$F$14),M266,0)+IF(AND('Your debts'!$F$8&lt;&gt;"",'Your debts'!$F$14&lt;&gt;"",'Your debts'!$F$8&lt;'Your debts'!$F$14),R266,0)+IF(AND('Your debts'!$F$9&lt;&gt;"",'Your debts'!$F$14&lt;&gt;"",'Your debts'!$F$9&lt;'Your debts'!$F$14),W266,0)+IF(AND('Your debts'!$F$10&lt;&gt;"",'Your debts'!$F$14&lt;&gt;"",'Your debts'!$F$10&lt;'Your debts'!$F$14),AB266,0)+IF(AND('Your debts'!$F$11&lt;&gt;"",'Your debts'!$F$14&lt;&gt;"",'Your debts'!$F$11&lt;'Your debts'!$F$14),AG266,0)+IF(AND('Your debts'!$F$12&lt;&gt;"",'Your debts'!$F$14&lt;&gt;"",'Your debts'!$F$12&lt;'Your debts'!$F$14),AL266,0)+IF(AND('Your debts'!$F$13&lt;&gt;"",'Your debts'!$F$14&lt;&gt;"",'Your debts'!$F$13&lt;'Your debts'!$F$14),AQ266,0)+IF(AND('Your debts'!$F$15&lt;&gt;"",'Your debts'!$F$14&lt;&gt;"",'Your debts'!$F$15&lt;'Your debts'!$F$14),BA266,0)))))</f>
        <v/>
      </c>
      <c r="AX266" s="33">
        <f>AV266-AW266</f>
        <v/>
      </c>
      <c r="AY266" s="33">
        <f>IF(BC265&lt;=0,0,ROUND(BC265*(1+'Your debts'!$D$15/1200),2))</f>
        <v/>
      </c>
      <c r="AZ266" s="33">
        <f>IF(AY266&lt;=0,0,MIN('Your debts'!$E$15,AY266))</f>
        <v/>
      </c>
      <c r="BA266" s="33">
        <f>AY266-AZ266</f>
        <v/>
      </c>
      <c r="BB266" s="33">
        <f>IF('Your debts'!$F$15="",0,MIN(BA266,MAX(0,MAX(0,'Your debts'!$C$19-(G266+L266+Q266+V266+AA266+AF266+AK266+AP266+AU266+AZ266))-(IF(AND('Your debts'!$F$6&lt;&gt;"",'Your debts'!$F$15&lt;&gt;"",'Your debts'!$F$6&lt;'Your debts'!$F$15),H266,0)+IF(AND('Your debts'!$F$7&lt;&gt;"",'Your debts'!$F$15&lt;&gt;"",'Your debts'!$F$7&lt;'Your debts'!$F$15),M266,0)+IF(AND('Your debts'!$F$8&lt;&gt;"",'Your debts'!$F$15&lt;&gt;"",'Your debts'!$F$8&lt;'Your debts'!$F$15),R266,0)+IF(AND('Your debts'!$F$9&lt;&gt;"",'Your debts'!$F$15&lt;&gt;"",'Your debts'!$F$9&lt;'Your debts'!$F$15),W266,0)+IF(AND('Your debts'!$F$10&lt;&gt;"",'Your debts'!$F$15&lt;&gt;"",'Your debts'!$F$10&lt;'Your debts'!$F$15),AB266,0)+IF(AND('Your debts'!$F$11&lt;&gt;"",'Your debts'!$F$15&lt;&gt;"",'Your debts'!$F$11&lt;'Your debts'!$F$15),AG266,0)+IF(AND('Your debts'!$F$12&lt;&gt;"",'Your debts'!$F$15&lt;&gt;"",'Your debts'!$F$12&lt;'Your debts'!$F$15),AL266,0)+IF(AND('Your debts'!$F$13&lt;&gt;"",'Your debts'!$F$15&lt;&gt;"",'Your debts'!$F$13&lt;'Your debts'!$F$15),AQ266,0)+IF(AND('Your debts'!$F$14&lt;&gt;"",'Your debts'!$F$15&lt;&gt;"",'Your debts'!$F$14&lt;'Your debts'!$F$15),AV266,0)))))</f>
        <v/>
      </c>
      <c r="BC266" s="33">
        <f>BA266-BB266</f>
        <v/>
      </c>
    </row>
    <row r="267">
      <c r="A267" s="30" t="n">
        <v>252</v>
      </c>
      <c r="B267" s="31">
        <f>EDATE($B$15,252)</f>
        <v/>
      </c>
      <c r="C267" s="32">
        <f>IF(J266&lt;=0,0,F267-J266)+IF(O266&lt;=0,0,K267-O266)+IF(T266&lt;=0,0,P267-T266)+IF(Y266&lt;=0,0,U267-Y266)+IF(AD266&lt;=0,0,Z267-AD266)+IF(AI266&lt;=0,0,AE267-AI266)+IF(AN266&lt;=0,0,AJ267-AN266)+IF(AS266&lt;=0,0,AO267-AS266)+IF(AX266&lt;=0,0,AT267-AX266)+IF(BC266&lt;=0,0,AY267-BC266)</f>
        <v/>
      </c>
      <c r="D267" s="32">
        <f>G267+I267+L267+N267+Q267+S267+V267+X267+AA267+AC267+AF267+AH267+AK267+AM267+AP267+AR267+AU267+AW267+AZ267+BB267</f>
        <v/>
      </c>
      <c r="E267" s="32">
        <f>J267+O267+T267+Y267+AD267+AI267+AN267+AS267+AX267+BC267</f>
        <v/>
      </c>
      <c r="F267" s="33">
        <f>IF(J266&lt;=0,0,ROUND(J266*(1+'Your debts'!$D$6/1200),2))</f>
        <v/>
      </c>
      <c r="G267" s="33">
        <f>IF(F267&lt;=0,0,MIN('Your debts'!$E$6,F267))</f>
        <v/>
      </c>
      <c r="H267" s="33">
        <f>F267-G267</f>
        <v/>
      </c>
      <c r="I267" s="33">
        <f>IF('Your debts'!$F$6="",0,MIN(H267,MAX(0,MAX(0,'Your debts'!$C$19-(G267+L267+Q267+V267+AA267+AF267+AK267+AP267+AU267+AZ267))-(IF(AND('Your debts'!$F$7&lt;&gt;"",'Your debts'!$F$6&lt;&gt;"",'Your debts'!$F$7&lt;'Your debts'!$F$6),M267,0)+IF(AND('Your debts'!$F$8&lt;&gt;"",'Your debts'!$F$6&lt;&gt;"",'Your debts'!$F$8&lt;'Your debts'!$F$6),R267,0)+IF(AND('Your debts'!$F$9&lt;&gt;"",'Your debts'!$F$6&lt;&gt;"",'Your debts'!$F$9&lt;'Your debts'!$F$6),W267,0)+IF(AND('Your debts'!$F$10&lt;&gt;"",'Your debts'!$F$6&lt;&gt;"",'Your debts'!$F$10&lt;'Your debts'!$F$6),AB267,0)+IF(AND('Your debts'!$F$11&lt;&gt;"",'Your debts'!$F$6&lt;&gt;"",'Your debts'!$F$11&lt;'Your debts'!$F$6),AG267,0)+IF(AND('Your debts'!$F$12&lt;&gt;"",'Your debts'!$F$6&lt;&gt;"",'Your debts'!$F$12&lt;'Your debts'!$F$6),AL267,0)+IF(AND('Your debts'!$F$13&lt;&gt;"",'Your debts'!$F$6&lt;&gt;"",'Your debts'!$F$13&lt;'Your debts'!$F$6),AQ267,0)+IF(AND('Your debts'!$F$14&lt;&gt;"",'Your debts'!$F$6&lt;&gt;"",'Your debts'!$F$14&lt;'Your debts'!$F$6),AV267,0)+IF(AND('Your debts'!$F$15&lt;&gt;"",'Your debts'!$F$6&lt;&gt;"",'Your debts'!$F$15&lt;'Your debts'!$F$6),BA267,0)))))</f>
        <v/>
      </c>
      <c r="J267" s="33">
        <f>H267-I267</f>
        <v/>
      </c>
      <c r="K267" s="33">
        <f>IF(O266&lt;=0,0,ROUND(O266*(1+'Your debts'!$D$7/1200),2))</f>
        <v/>
      </c>
      <c r="L267" s="33">
        <f>IF(K267&lt;=0,0,MIN('Your debts'!$E$7,K267))</f>
        <v/>
      </c>
      <c r="M267" s="33">
        <f>K267-L267</f>
        <v/>
      </c>
      <c r="N267" s="33">
        <f>IF('Your debts'!$F$7="",0,MIN(M267,MAX(0,MAX(0,'Your debts'!$C$19-(G267+L267+Q267+V267+AA267+AF267+AK267+AP267+AU267+AZ267))-(IF(AND('Your debts'!$F$6&lt;&gt;"",'Your debts'!$F$7&lt;&gt;"",'Your debts'!$F$6&lt;'Your debts'!$F$7),H267,0)+IF(AND('Your debts'!$F$8&lt;&gt;"",'Your debts'!$F$7&lt;&gt;"",'Your debts'!$F$8&lt;'Your debts'!$F$7),R267,0)+IF(AND('Your debts'!$F$9&lt;&gt;"",'Your debts'!$F$7&lt;&gt;"",'Your debts'!$F$9&lt;'Your debts'!$F$7),W267,0)+IF(AND('Your debts'!$F$10&lt;&gt;"",'Your debts'!$F$7&lt;&gt;"",'Your debts'!$F$10&lt;'Your debts'!$F$7),AB267,0)+IF(AND('Your debts'!$F$11&lt;&gt;"",'Your debts'!$F$7&lt;&gt;"",'Your debts'!$F$11&lt;'Your debts'!$F$7),AG267,0)+IF(AND('Your debts'!$F$12&lt;&gt;"",'Your debts'!$F$7&lt;&gt;"",'Your debts'!$F$12&lt;'Your debts'!$F$7),AL267,0)+IF(AND('Your debts'!$F$13&lt;&gt;"",'Your debts'!$F$7&lt;&gt;"",'Your debts'!$F$13&lt;'Your debts'!$F$7),AQ267,0)+IF(AND('Your debts'!$F$14&lt;&gt;"",'Your debts'!$F$7&lt;&gt;"",'Your debts'!$F$14&lt;'Your debts'!$F$7),AV267,0)+IF(AND('Your debts'!$F$15&lt;&gt;"",'Your debts'!$F$7&lt;&gt;"",'Your debts'!$F$15&lt;'Your debts'!$F$7),BA267,0)))))</f>
        <v/>
      </c>
      <c r="O267" s="33">
        <f>M267-N267</f>
        <v/>
      </c>
      <c r="P267" s="33">
        <f>IF(T266&lt;=0,0,ROUND(T266*(1+'Your debts'!$D$8/1200),2))</f>
        <v/>
      </c>
      <c r="Q267" s="33">
        <f>IF(P267&lt;=0,0,MIN('Your debts'!$E$8,P267))</f>
        <v/>
      </c>
      <c r="R267" s="33">
        <f>P267-Q267</f>
        <v/>
      </c>
      <c r="S267" s="33">
        <f>IF('Your debts'!$F$8="",0,MIN(R267,MAX(0,MAX(0,'Your debts'!$C$19-(G267+L267+Q267+V267+AA267+AF267+AK267+AP267+AU267+AZ267))-(IF(AND('Your debts'!$F$6&lt;&gt;"",'Your debts'!$F$8&lt;&gt;"",'Your debts'!$F$6&lt;'Your debts'!$F$8),H267,0)+IF(AND('Your debts'!$F$7&lt;&gt;"",'Your debts'!$F$8&lt;&gt;"",'Your debts'!$F$7&lt;'Your debts'!$F$8),M267,0)+IF(AND('Your debts'!$F$9&lt;&gt;"",'Your debts'!$F$8&lt;&gt;"",'Your debts'!$F$9&lt;'Your debts'!$F$8),W267,0)+IF(AND('Your debts'!$F$10&lt;&gt;"",'Your debts'!$F$8&lt;&gt;"",'Your debts'!$F$10&lt;'Your debts'!$F$8),AB267,0)+IF(AND('Your debts'!$F$11&lt;&gt;"",'Your debts'!$F$8&lt;&gt;"",'Your debts'!$F$11&lt;'Your debts'!$F$8),AG267,0)+IF(AND('Your debts'!$F$12&lt;&gt;"",'Your debts'!$F$8&lt;&gt;"",'Your debts'!$F$12&lt;'Your debts'!$F$8),AL267,0)+IF(AND('Your debts'!$F$13&lt;&gt;"",'Your debts'!$F$8&lt;&gt;"",'Your debts'!$F$13&lt;'Your debts'!$F$8),AQ267,0)+IF(AND('Your debts'!$F$14&lt;&gt;"",'Your debts'!$F$8&lt;&gt;"",'Your debts'!$F$14&lt;'Your debts'!$F$8),AV267,0)+IF(AND('Your debts'!$F$15&lt;&gt;"",'Your debts'!$F$8&lt;&gt;"",'Your debts'!$F$15&lt;'Your debts'!$F$8),BA267,0)))))</f>
        <v/>
      </c>
      <c r="T267" s="33">
        <f>R267-S267</f>
        <v/>
      </c>
      <c r="U267" s="33">
        <f>IF(Y266&lt;=0,0,ROUND(Y266*(1+'Your debts'!$D$9/1200),2))</f>
        <v/>
      </c>
      <c r="V267" s="33">
        <f>IF(U267&lt;=0,0,MIN('Your debts'!$E$9,U267))</f>
        <v/>
      </c>
      <c r="W267" s="33">
        <f>U267-V267</f>
        <v/>
      </c>
      <c r="X267" s="33">
        <f>IF('Your debts'!$F$9="",0,MIN(W267,MAX(0,MAX(0,'Your debts'!$C$19-(G267+L267+Q267+V267+AA267+AF267+AK267+AP267+AU267+AZ267))-(IF(AND('Your debts'!$F$6&lt;&gt;"",'Your debts'!$F$9&lt;&gt;"",'Your debts'!$F$6&lt;'Your debts'!$F$9),H267,0)+IF(AND('Your debts'!$F$7&lt;&gt;"",'Your debts'!$F$9&lt;&gt;"",'Your debts'!$F$7&lt;'Your debts'!$F$9),M267,0)+IF(AND('Your debts'!$F$8&lt;&gt;"",'Your debts'!$F$9&lt;&gt;"",'Your debts'!$F$8&lt;'Your debts'!$F$9),R267,0)+IF(AND('Your debts'!$F$10&lt;&gt;"",'Your debts'!$F$9&lt;&gt;"",'Your debts'!$F$10&lt;'Your debts'!$F$9),AB267,0)+IF(AND('Your debts'!$F$11&lt;&gt;"",'Your debts'!$F$9&lt;&gt;"",'Your debts'!$F$11&lt;'Your debts'!$F$9),AG267,0)+IF(AND('Your debts'!$F$12&lt;&gt;"",'Your debts'!$F$9&lt;&gt;"",'Your debts'!$F$12&lt;'Your debts'!$F$9),AL267,0)+IF(AND('Your debts'!$F$13&lt;&gt;"",'Your debts'!$F$9&lt;&gt;"",'Your debts'!$F$13&lt;'Your debts'!$F$9),AQ267,0)+IF(AND('Your debts'!$F$14&lt;&gt;"",'Your debts'!$F$9&lt;&gt;"",'Your debts'!$F$14&lt;'Your debts'!$F$9),AV267,0)+IF(AND('Your debts'!$F$15&lt;&gt;"",'Your debts'!$F$9&lt;&gt;"",'Your debts'!$F$15&lt;'Your debts'!$F$9),BA267,0)))))</f>
        <v/>
      </c>
      <c r="Y267" s="33">
        <f>W267-X267</f>
        <v/>
      </c>
      <c r="Z267" s="33">
        <f>IF(AD266&lt;=0,0,ROUND(AD266*(1+'Your debts'!$D$10/1200),2))</f>
        <v/>
      </c>
      <c r="AA267" s="33">
        <f>IF(Z267&lt;=0,0,MIN('Your debts'!$E$10,Z267))</f>
        <v/>
      </c>
      <c r="AB267" s="33">
        <f>Z267-AA267</f>
        <v/>
      </c>
      <c r="AC267" s="33">
        <f>IF('Your debts'!$F$10="",0,MIN(AB267,MAX(0,MAX(0,'Your debts'!$C$19-(G267+L267+Q267+V267+AA267+AF267+AK267+AP267+AU267+AZ267))-(IF(AND('Your debts'!$F$6&lt;&gt;"",'Your debts'!$F$10&lt;&gt;"",'Your debts'!$F$6&lt;'Your debts'!$F$10),H267,0)+IF(AND('Your debts'!$F$7&lt;&gt;"",'Your debts'!$F$10&lt;&gt;"",'Your debts'!$F$7&lt;'Your debts'!$F$10),M267,0)+IF(AND('Your debts'!$F$8&lt;&gt;"",'Your debts'!$F$10&lt;&gt;"",'Your debts'!$F$8&lt;'Your debts'!$F$10),R267,0)+IF(AND('Your debts'!$F$9&lt;&gt;"",'Your debts'!$F$10&lt;&gt;"",'Your debts'!$F$9&lt;'Your debts'!$F$10),W267,0)+IF(AND('Your debts'!$F$11&lt;&gt;"",'Your debts'!$F$10&lt;&gt;"",'Your debts'!$F$11&lt;'Your debts'!$F$10),AG267,0)+IF(AND('Your debts'!$F$12&lt;&gt;"",'Your debts'!$F$10&lt;&gt;"",'Your debts'!$F$12&lt;'Your debts'!$F$10),AL267,0)+IF(AND('Your debts'!$F$13&lt;&gt;"",'Your debts'!$F$10&lt;&gt;"",'Your debts'!$F$13&lt;'Your debts'!$F$10),AQ267,0)+IF(AND('Your debts'!$F$14&lt;&gt;"",'Your debts'!$F$10&lt;&gt;"",'Your debts'!$F$14&lt;'Your debts'!$F$10),AV267,0)+IF(AND('Your debts'!$F$15&lt;&gt;"",'Your debts'!$F$10&lt;&gt;"",'Your debts'!$F$15&lt;'Your debts'!$F$10),BA267,0)))))</f>
        <v/>
      </c>
      <c r="AD267" s="33">
        <f>AB267-AC267</f>
        <v/>
      </c>
      <c r="AE267" s="33">
        <f>IF(AI266&lt;=0,0,ROUND(AI266*(1+'Your debts'!$D$11/1200),2))</f>
        <v/>
      </c>
      <c r="AF267" s="33">
        <f>IF(AE267&lt;=0,0,MIN('Your debts'!$E$11,AE267))</f>
        <v/>
      </c>
      <c r="AG267" s="33">
        <f>AE267-AF267</f>
        <v/>
      </c>
      <c r="AH267" s="33">
        <f>IF('Your debts'!$F$11="",0,MIN(AG267,MAX(0,MAX(0,'Your debts'!$C$19-(G267+L267+Q267+V267+AA267+AF267+AK267+AP267+AU267+AZ267))-(IF(AND('Your debts'!$F$6&lt;&gt;"",'Your debts'!$F$11&lt;&gt;"",'Your debts'!$F$6&lt;'Your debts'!$F$11),H267,0)+IF(AND('Your debts'!$F$7&lt;&gt;"",'Your debts'!$F$11&lt;&gt;"",'Your debts'!$F$7&lt;'Your debts'!$F$11),M267,0)+IF(AND('Your debts'!$F$8&lt;&gt;"",'Your debts'!$F$11&lt;&gt;"",'Your debts'!$F$8&lt;'Your debts'!$F$11),R267,0)+IF(AND('Your debts'!$F$9&lt;&gt;"",'Your debts'!$F$11&lt;&gt;"",'Your debts'!$F$9&lt;'Your debts'!$F$11),W267,0)+IF(AND('Your debts'!$F$10&lt;&gt;"",'Your debts'!$F$11&lt;&gt;"",'Your debts'!$F$10&lt;'Your debts'!$F$11),AB267,0)+IF(AND('Your debts'!$F$12&lt;&gt;"",'Your debts'!$F$11&lt;&gt;"",'Your debts'!$F$12&lt;'Your debts'!$F$11),AL267,0)+IF(AND('Your debts'!$F$13&lt;&gt;"",'Your debts'!$F$11&lt;&gt;"",'Your debts'!$F$13&lt;'Your debts'!$F$11),AQ267,0)+IF(AND('Your debts'!$F$14&lt;&gt;"",'Your debts'!$F$11&lt;&gt;"",'Your debts'!$F$14&lt;'Your debts'!$F$11),AV267,0)+IF(AND('Your debts'!$F$15&lt;&gt;"",'Your debts'!$F$11&lt;&gt;"",'Your debts'!$F$15&lt;'Your debts'!$F$11),BA267,0)))))</f>
        <v/>
      </c>
      <c r="AI267" s="33">
        <f>AG267-AH267</f>
        <v/>
      </c>
      <c r="AJ267" s="33">
        <f>IF(AN266&lt;=0,0,ROUND(AN266*(1+'Your debts'!$D$12/1200),2))</f>
        <v/>
      </c>
      <c r="AK267" s="33">
        <f>IF(AJ267&lt;=0,0,MIN('Your debts'!$E$12,AJ267))</f>
        <v/>
      </c>
      <c r="AL267" s="33">
        <f>AJ267-AK267</f>
        <v/>
      </c>
      <c r="AM267" s="33">
        <f>IF('Your debts'!$F$12="",0,MIN(AL267,MAX(0,MAX(0,'Your debts'!$C$19-(G267+L267+Q267+V267+AA267+AF267+AK267+AP267+AU267+AZ267))-(IF(AND('Your debts'!$F$6&lt;&gt;"",'Your debts'!$F$12&lt;&gt;"",'Your debts'!$F$6&lt;'Your debts'!$F$12),H267,0)+IF(AND('Your debts'!$F$7&lt;&gt;"",'Your debts'!$F$12&lt;&gt;"",'Your debts'!$F$7&lt;'Your debts'!$F$12),M267,0)+IF(AND('Your debts'!$F$8&lt;&gt;"",'Your debts'!$F$12&lt;&gt;"",'Your debts'!$F$8&lt;'Your debts'!$F$12),R267,0)+IF(AND('Your debts'!$F$9&lt;&gt;"",'Your debts'!$F$12&lt;&gt;"",'Your debts'!$F$9&lt;'Your debts'!$F$12),W267,0)+IF(AND('Your debts'!$F$10&lt;&gt;"",'Your debts'!$F$12&lt;&gt;"",'Your debts'!$F$10&lt;'Your debts'!$F$12),AB267,0)+IF(AND('Your debts'!$F$11&lt;&gt;"",'Your debts'!$F$12&lt;&gt;"",'Your debts'!$F$11&lt;'Your debts'!$F$12),AG267,0)+IF(AND('Your debts'!$F$13&lt;&gt;"",'Your debts'!$F$12&lt;&gt;"",'Your debts'!$F$13&lt;'Your debts'!$F$12),AQ267,0)+IF(AND('Your debts'!$F$14&lt;&gt;"",'Your debts'!$F$12&lt;&gt;"",'Your debts'!$F$14&lt;'Your debts'!$F$12),AV267,0)+IF(AND('Your debts'!$F$15&lt;&gt;"",'Your debts'!$F$12&lt;&gt;"",'Your debts'!$F$15&lt;'Your debts'!$F$12),BA267,0)))))</f>
        <v/>
      </c>
      <c r="AN267" s="33">
        <f>AL267-AM267</f>
        <v/>
      </c>
      <c r="AO267" s="33">
        <f>IF(AS266&lt;=0,0,ROUND(AS266*(1+'Your debts'!$D$13/1200),2))</f>
        <v/>
      </c>
      <c r="AP267" s="33">
        <f>IF(AO267&lt;=0,0,MIN('Your debts'!$E$13,AO267))</f>
        <v/>
      </c>
      <c r="AQ267" s="33">
        <f>AO267-AP267</f>
        <v/>
      </c>
      <c r="AR267" s="33">
        <f>IF('Your debts'!$F$13="",0,MIN(AQ267,MAX(0,MAX(0,'Your debts'!$C$19-(G267+L267+Q267+V267+AA267+AF267+AK267+AP267+AU267+AZ267))-(IF(AND('Your debts'!$F$6&lt;&gt;"",'Your debts'!$F$13&lt;&gt;"",'Your debts'!$F$6&lt;'Your debts'!$F$13),H267,0)+IF(AND('Your debts'!$F$7&lt;&gt;"",'Your debts'!$F$13&lt;&gt;"",'Your debts'!$F$7&lt;'Your debts'!$F$13),M267,0)+IF(AND('Your debts'!$F$8&lt;&gt;"",'Your debts'!$F$13&lt;&gt;"",'Your debts'!$F$8&lt;'Your debts'!$F$13),R267,0)+IF(AND('Your debts'!$F$9&lt;&gt;"",'Your debts'!$F$13&lt;&gt;"",'Your debts'!$F$9&lt;'Your debts'!$F$13),W267,0)+IF(AND('Your debts'!$F$10&lt;&gt;"",'Your debts'!$F$13&lt;&gt;"",'Your debts'!$F$10&lt;'Your debts'!$F$13),AB267,0)+IF(AND('Your debts'!$F$11&lt;&gt;"",'Your debts'!$F$13&lt;&gt;"",'Your debts'!$F$11&lt;'Your debts'!$F$13),AG267,0)+IF(AND('Your debts'!$F$12&lt;&gt;"",'Your debts'!$F$13&lt;&gt;"",'Your debts'!$F$12&lt;'Your debts'!$F$13),AL267,0)+IF(AND('Your debts'!$F$14&lt;&gt;"",'Your debts'!$F$13&lt;&gt;"",'Your debts'!$F$14&lt;'Your debts'!$F$13),AV267,0)+IF(AND('Your debts'!$F$15&lt;&gt;"",'Your debts'!$F$13&lt;&gt;"",'Your debts'!$F$15&lt;'Your debts'!$F$13),BA267,0)))))</f>
        <v/>
      </c>
      <c r="AS267" s="33">
        <f>AQ267-AR267</f>
        <v/>
      </c>
      <c r="AT267" s="33">
        <f>IF(AX266&lt;=0,0,ROUND(AX266*(1+'Your debts'!$D$14/1200),2))</f>
        <v/>
      </c>
      <c r="AU267" s="33">
        <f>IF(AT267&lt;=0,0,MIN('Your debts'!$E$14,AT267))</f>
        <v/>
      </c>
      <c r="AV267" s="33">
        <f>AT267-AU267</f>
        <v/>
      </c>
      <c r="AW267" s="33">
        <f>IF('Your debts'!$F$14="",0,MIN(AV267,MAX(0,MAX(0,'Your debts'!$C$19-(G267+L267+Q267+V267+AA267+AF267+AK267+AP267+AU267+AZ267))-(IF(AND('Your debts'!$F$6&lt;&gt;"",'Your debts'!$F$14&lt;&gt;"",'Your debts'!$F$6&lt;'Your debts'!$F$14),H267,0)+IF(AND('Your debts'!$F$7&lt;&gt;"",'Your debts'!$F$14&lt;&gt;"",'Your debts'!$F$7&lt;'Your debts'!$F$14),M267,0)+IF(AND('Your debts'!$F$8&lt;&gt;"",'Your debts'!$F$14&lt;&gt;"",'Your debts'!$F$8&lt;'Your debts'!$F$14),R267,0)+IF(AND('Your debts'!$F$9&lt;&gt;"",'Your debts'!$F$14&lt;&gt;"",'Your debts'!$F$9&lt;'Your debts'!$F$14),W267,0)+IF(AND('Your debts'!$F$10&lt;&gt;"",'Your debts'!$F$14&lt;&gt;"",'Your debts'!$F$10&lt;'Your debts'!$F$14),AB267,0)+IF(AND('Your debts'!$F$11&lt;&gt;"",'Your debts'!$F$14&lt;&gt;"",'Your debts'!$F$11&lt;'Your debts'!$F$14),AG267,0)+IF(AND('Your debts'!$F$12&lt;&gt;"",'Your debts'!$F$14&lt;&gt;"",'Your debts'!$F$12&lt;'Your debts'!$F$14),AL267,0)+IF(AND('Your debts'!$F$13&lt;&gt;"",'Your debts'!$F$14&lt;&gt;"",'Your debts'!$F$13&lt;'Your debts'!$F$14),AQ267,0)+IF(AND('Your debts'!$F$15&lt;&gt;"",'Your debts'!$F$14&lt;&gt;"",'Your debts'!$F$15&lt;'Your debts'!$F$14),BA267,0)))))</f>
        <v/>
      </c>
      <c r="AX267" s="33">
        <f>AV267-AW267</f>
        <v/>
      </c>
      <c r="AY267" s="33">
        <f>IF(BC266&lt;=0,0,ROUND(BC266*(1+'Your debts'!$D$15/1200),2))</f>
        <v/>
      </c>
      <c r="AZ267" s="33">
        <f>IF(AY267&lt;=0,0,MIN('Your debts'!$E$15,AY267))</f>
        <v/>
      </c>
      <c r="BA267" s="33">
        <f>AY267-AZ267</f>
        <v/>
      </c>
      <c r="BB267" s="33">
        <f>IF('Your debts'!$F$15="",0,MIN(BA267,MAX(0,MAX(0,'Your debts'!$C$19-(G267+L267+Q267+V267+AA267+AF267+AK267+AP267+AU267+AZ267))-(IF(AND('Your debts'!$F$6&lt;&gt;"",'Your debts'!$F$15&lt;&gt;"",'Your debts'!$F$6&lt;'Your debts'!$F$15),H267,0)+IF(AND('Your debts'!$F$7&lt;&gt;"",'Your debts'!$F$15&lt;&gt;"",'Your debts'!$F$7&lt;'Your debts'!$F$15),M267,0)+IF(AND('Your debts'!$F$8&lt;&gt;"",'Your debts'!$F$15&lt;&gt;"",'Your debts'!$F$8&lt;'Your debts'!$F$15),R267,0)+IF(AND('Your debts'!$F$9&lt;&gt;"",'Your debts'!$F$15&lt;&gt;"",'Your debts'!$F$9&lt;'Your debts'!$F$15),W267,0)+IF(AND('Your debts'!$F$10&lt;&gt;"",'Your debts'!$F$15&lt;&gt;"",'Your debts'!$F$10&lt;'Your debts'!$F$15),AB267,0)+IF(AND('Your debts'!$F$11&lt;&gt;"",'Your debts'!$F$15&lt;&gt;"",'Your debts'!$F$11&lt;'Your debts'!$F$15),AG267,0)+IF(AND('Your debts'!$F$12&lt;&gt;"",'Your debts'!$F$15&lt;&gt;"",'Your debts'!$F$12&lt;'Your debts'!$F$15),AL267,0)+IF(AND('Your debts'!$F$13&lt;&gt;"",'Your debts'!$F$15&lt;&gt;"",'Your debts'!$F$13&lt;'Your debts'!$F$15),AQ267,0)+IF(AND('Your debts'!$F$14&lt;&gt;"",'Your debts'!$F$15&lt;&gt;"",'Your debts'!$F$14&lt;'Your debts'!$F$15),AV267,0)))))</f>
        <v/>
      </c>
      <c r="BC267" s="33">
        <f>BA267-BB267</f>
        <v/>
      </c>
    </row>
    <row r="268">
      <c r="A268" s="30" t="n">
        <v>253</v>
      </c>
      <c r="B268" s="31">
        <f>EDATE($B$15,253)</f>
        <v/>
      </c>
      <c r="C268" s="32">
        <f>IF(J267&lt;=0,0,F268-J267)+IF(O267&lt;=0,0,K268-O267)+IF(T267&lt;=0,0,P268-T267)+IF(Y267&lt;=0,0,U268-Y267)+IF(AD267&lt;=0,0,Z268-AD267)+IF(AI267&lt;=0,0,AE268-AI267)+IF(AN267&lt;=0,0,AJ268-AN267)+IF(AS267&lt;=0,0,AO268-AS267)+IF(AX267&lt;=0,0,AT268-AX267)+IF(BC267&lt;=0,0,AY268-BC267)</f>
        <v/>
      </c>
      <c r="D268" s="32">
        <f>G268+I268+L268+N268+Q268+S268+V268+X268+AA268+AC268+AF268+AH268+AK268+AM268+AP268+AR268+AU268+AW268+AZ268+BB268</f>
        <v/>
      </c>
      <c r="E268" s="32">
        <f>J268+O268+T268+Y268+AD268+AI268+AN268+AS268+AX268+BC268</f>
        <v/>
      </c>
      <c r="F268" s="33">
        <f>IF(J267&lt;=0,0,ROUND(J267*(1+'Your debts'!$D$6/1200),2))</f>
        <v/>
      </c>
      <c r="G268" s="33">
        <f>IF(F268&lt;=0,0,MIN('Your debts'!$E$6,F268))</f>
        <v/>
      </c>
      <c r="H268" s="33">
        <f>F268-G268</f>
        <v/>
      </c>
      <c r="I268" s="33">
        <f>IF('Your debts'!$F$6="",0,MIN(H268,MAX(0,MAX(0,'Your debts'!$C$19-(G268+L268+Q268+V268+AA268+AF268+AK268+AP268+AU268+AZ268))-(IF(AND('Your debts'!$F$7&lt;&gt;"",'Your debts'!$F$6&lt;&gt;"",'Your debts'!$F$7&lt;'Your debts'!$F$6),M268,0)+IF(AND('Your debts'!$F$8&lt;&gt;"",'Your debts'!$F$6&lt;&gt;"",'Your debts'!$F$8&lt;'Your debts'!$F$6),R268,0)+IF(AND('Your debts'!$F$9&lt;&gt;"",'Your debts'!$F$6&lt;&gt;"",'Your debts'!$F$9&lt;'Your debts'!$F$6),W268,0)+IF(AND('Your debts'!$F$10&lt;&gt;"",'Your debts'!$F$6&lt;&gt;"",'Your debts'!$F$10&lt;'Your debts'!$F$6),AB268,0)+IF(AND('Your debts'!$F$11&lt;&gt;"",'Your debts'!$F$6&lt;&gt;"",'Your debts'!$F$11&lt;'Your debts'!$F$6),AG268,0)+IF(AND('Your debts'!$F$12&lt;&gt;"",'Your debts'!$F$6&lt;&gt;"",'Your debts'!$F$12&lt;'Your debts'!$F$6),AL268,0)+IF(AND('Your debts'!$F$13&lt;&gt;"",'Your debts'!$F$6&lt;&gt;"",'Your debts'!$F$13&lt;'Your debts'!$F$6),AQ268,0)+IF(AND('Your debts'!$F$14&lt;&gt;"",'Your debts'!$F$6&lt;&gt;"",'Your debts'!$F$14&lt;'Your debts'!$F$6),AV268,0)+IF(AND('Your debts'!$F$15&lt;&gt;"",'Your debts'!$F$6&lt;&gt;"",'Your debts'!$F$15&lt;'Your debts'!$F$6),BA268,0)))))</f>
        <v/>
      </c>
      <c r="J268" s="33">
        <f>H268-I268</f>
        <v/>
      </c>
      <c r="K268" s="33">
        <f>IF(O267&lt;=0,0,ROUND(O267*(1+'Your debts'!$D$7/1200),2))</f>
        <v/>
      </c>
      <c r="L268" s="33">
        <f>IF(K268&lt;=0,0,MIN('Your debts'!$E$7,K268))</f>
        <v/>
      </c>
      <c r="M268" s="33">
        <f>K268-L268</f>
        <v/>
      </c>
      <c r="N268" s="33">
        <f>IF('Your debts'!$F$7="",0,MIN(M268,MAX(0,MAX(0,'Your debts'!$C$19-(G268+L268+Q268+V268+AA268+AF268+AK268+AP268+AU268+AZ268))-(IF(AND('Your debts'!$F$6&lt;&gt;"",'Your debts'!$F$7&lt;&gt;"",'Your debts'!$F$6&lt;'Your debts'!$F$7),H268,0)+IF(AND('Your debts'!$F$8&lt;&gt;"",'Your debts'!$F$7&lt;&gt;"",'Your debts'!$F$8&lt;'Your debts'!$F$7),R268,0)+IF(AND('Your debts'!$F$9&lt;&gt;"",'Your debts'!$F$7&lt;&gt;"",'Your debts'!$F$9&lt;'Your debts'!$F$7),W268,0)+IF(AND('Your debts'!$F$10&lt;&gt;"",'Your debts'!$F$7&lt;&gt;"",'Your debts'!$F$10&lt;'Your debts'!$F$7),AB268,0)+IF(AND('Your debts'!$F$11&lt;&gt;"",'Your debts'!$F$7&lt;&gt;"",'Your debts'!$F$11&lt;'Your debts'!$F$7),AG268,0)+IF(AND('Your debts'!$F$12&lt;&gt;"",'Your debts'!$F$7&lt;&gt;"",'Your debts'!$F$12&lt;'Your debts'!$F$7),AL268,0)+IF(AND('Your debts'!$F$13&lt;&gt;"",'Your debts'!$F$7&lt;&gt;"",'Your debts'!$F$13&lt;'Your debts'!$F$7),AQ268,0)+IF(AND('Your debts'!$F$14&lt;&gt;"",'Your debts'!$F$7&lt;&gt;"",'Your debts'!$F$14&lt;'Your debts'!$F$7),AV268,0)+IF(AND('Your debts'!$F$15&lt;&gt;"",'Your debts'!$F$7&lt;&gt;"",'Your debts'!$F$15&lt;'Your debts'!$F$7),BA268,0)))))</f>
        <v/>
      </c>
      <c r="O268" s="33">
        <f>M268-N268</f>
        <v/>
      </c>
      <c r="P268" s="33">
        <f>IF(T267&lt;=0,0,ROUND(T267*(1+'Your debts'!$D$8/1200),2))</f>
        <v/>
      </c>
      <c r="Q268" s="33">
        <f>IF(P268&lt;=0,0,MIN('Your debts'!$E$8,P268))</f>
        <v/>
      </c>
      <c r="R268" s="33">
        <f>P268-Q268</f>
        <v/>
      </c>
      <c r="S268" s="33">
        <f>IF('Your debts'!$F$8="",0,MIN(R268,MAX(0,MAX(0,'Your debts'!$C$19-(G268+L268+Q268+V268+AA268+AF268+AK268+AP268+AU268+AZ268))-(IF(AND('Your debts'!$F$6&lt;&gt;"",'Your debts'!$F$8&lt;&gt;"",'Your debts'!$F$6&lt;'Your debts'!$F$8),H268,0)+IF(AND('Your debts'!$F$7&lt;&gt;"",'Your debts'!$F$8&lt;&gt;"",'Your debts'!$F$7&lt;'Your debts'!$F$8),M268,0)+IF(AND('Your debts'!$F$9&lt;&gt;"",'Your debts'!$F$8&lt;&gt;"",'Your debts'!$F$9&lt;'Your debts'!$F$8),W268,0)+IF(AND('Your debts'!$F$10&lt;&gt;"",'Your debts'!$F$8&lt;&gt;"",'Your debts'!$F$10&lt;'Your debts'!$F$8),AB268,0)+IF(AND('Your debts'!$F$11&lt;&gt;"",'Your debts'!$F$8&lt;&gt;"",'Your debts'!$F$11&lt;'Your debts'!$F$8),AG268,0)+IF(AND('Your debts'!$F$12&lt;&gt;"",'Your debts'!$F$8&lt;&gt;"",'Your debts'!$F$12&lt;'Your debts'!$F$8),AL268,0)+IF(AND('Your debts'!$F$13&lt;&gt;"",'Your debts'!$F$8&lt;&gt;"",'Your debts'!$F$13&lt;'Your debts'!$F$8),AQ268,0)+IF(AND('Your debts'!$F$14&lt;&gt;"",'Your debts'!$F$8&lt;&gt;"",'Your debts'!$F$14&lt;'Your debts'!$F$8),AV268,0)+IF(AND('Your debts'!$F$15&lt;&gt;"",'Your debts'!$F$8&lt;&gt;"",'Your debts'!$F$15&lt;'Your debts'!$F$8),BA268,0)))))</f>
        <v/>
      </c>
      <c r="T268" s="33">
        <f>R268-S268</f>
        <v/>
      </c>
      <c r="U268" s="33">
        <f>IF(Y267&lt;=0,0,ROUND(Y267*(1+'Your debts'!$D$9/1200),2))</f>
        <v/>
      </c>
      <c r="V268" s="33">
        <f>IF(U268&lt;=0,0,MIN('Your debts'!$E$9,U268))</f>
        <v/>
      </c>
      <c r="W268" s="33">
        <f>U268-V268</f>
        <v/>
      </c>
      <c r="X268" s="33">
        <f>IF('Your debts'!$F$9="",0,MIN(W268,MAX(0,MAX(0,'Your debts'!$C$19-(G268+L268+Q268+V268+AA268+AF268+AK268+AP268+AU268+AZ268))-(IF(AND('Your debts'!$F$6&lt;&gt;"",'Your debts'!$F$9&lt;&gt;"",'Your debts'!$F$6&lt;'Your debts'!$F$9),H268,0)+IF(AND('Your debts'!$F$7&lt;&gt;"",'Your debts'!$F$9&lt;&gt;"",'Your debts'!$F$7&lt;'Your debts'!$F$9),M268,0)+IF(AND('Your debts'!$F$8&lt;&gt;"",'Your debts'!$F$9&lt;&gt;"",'Your debts'!$F$8&lt;'Your debts'!$F$9),R268,0)+IF(AND('Your debts'!$F$10&lt;&gt;"",'Your debts'!$F$9&lt;&gt;"",'Your debts'!$F$10&lt;'Your debts'!$F$9),AB268,0)+IF(AND('Your debts'!$F$11&lt;&gt;"",'Your debts'!$F$9&lt;&gt;"",'Your debts'!$F$11&lt;'Your debts'!$F$9),AG268,0)+IF(AND('Your debts'!$F$12&lt;&gt;"",'Your debts'!$F$9&lt;&gt;"",'Your debts'!$F$12&lt;'Your debts'!$F$9),AL268,0)+IF(AND('Your debts'!$F$13&lt;&gt;"",'Your debts'!$F$9&lt;&gt;"",'Your debts'!$F$13&lt;'Your debts'!$F$9),AQ268,0)+IF(AND('Your debts'!$F$14&lt;&gt;"",'Your debts'!$F$9&lt;&gt;"",'Your debts'!$F$14&lt;'Your debts'!$F$9),AV268,0)+IF(AND('Your debts'!$F$15&lt;&gt;"",'Your debts'!$F$9&lt;&gt;"",'Your debts'!$F$15&lt;'Your debts'!$F$9),BA268,0)))))</f>
        <v/>
      </c>
      <c r="Y268" s="33">
        <f>W268-X268</f>
        <v/>
      </c>
      <c r="Z268" s="33">
        <f>IF(AD267&lt;=0,0,ROUND(AD267*(1+'Your debts'!$D$10/1200),2))</f>
        <v/>
      </c>
      <c r="AA268" s="33">
        <f>IF(Z268&lt;=0,0,MIN('Your debts'!$E$10,Z268))</f>
        <v/>
      </c>
      <c r="AB268" s="33">
        <f>Z268-AA268</f>
        <v/>
      </c>
      <c r="AC268" s="33">
        <f>IF('Your debts'!$F$10="",0,MIN(AB268,MAX(0,MAX(0,'Your debts'!$C$19-(G268+L268+Q268+V268+AA268+AF268+AK268+AP268+AU268+AZ268))-(IF(AND('Your debts'!$F$6&lt;&gt;"",'Your debts'!$F$10&lt;&gt;"",'Your debts'!$F$6&lt;'Your debts'!$F$10),H268,0)+IF(AND('Your debts'!$F$7&lt;&gt;"",'Your debts'!$F$10&lt;&gt;"",'Your debts'!$F$7&lt;'Your debts'!$F$10),M268,0)+IF(AND('Your debts'!$F$8&lt;&gt;"",'Your debts'!$F$10&lt;&gt;"",'Your debts'!$F$8&lt;'Your debts'!$F$10),R268,0)+IF(AND('Your debts'!$F$9&lt;&gt;"",'Your debts'!$F$10&lt;&gt;"",'Your debts'!$F$9&lt;'Your debts'!$F$10),W268,0)+IF(AND('Your debts'!$F$11&lt;&gt;"",'Your debts'!$F$10&lt;&gt;"",'Your debts'!$F$11&lt;'Your debts'!$F$10),AG268,0)+IF(AND('Your debts'!$F$12&lt;&gt;"",'Your debts'!$F$10&lt;&gt;"",'Your debts'!$F$12&lt;'Your debts'!$F$10),AL268,0)+IF(AND('Your debts'!$F$13&lt;&gt;"",'Your debts'!$F$10&lt;&gt;"",'Your debts'!$F$13&lt;'Your debts'!$F$10),AQ268,0)+IF(AND('Your debts'!$F$14&lt;&gt;"",'Your debts'!$F$10&lt;&gt;"",'Your debts'!$F$14&lt;'Your debts'!$F$10),AV268,0)+IF(AND('Your debts'!$F$15&lt;&gt;"",'Your debts'!$F$10&lt;&gt;"",'Your debts'!$F$15&lt;'Your debts'!$F$10),BA268,0)))))</f>
        <v/>
      </c>
      <c r="AD268" s="33">
        <f>AB268-AC268</f>
        <v/>
      </c>
      <c r="AE268" s="33">
        <f>IF(AI267&lt;=0,0,ROUND(AI267*(1+'Your debts'!$D$11/1200),2))</f>
        <v/>
      </c>
      <c r="AF268" s="33">
        <f>IF(AE268&lt;=0,0,MIN('Your debts'!$E$11,AE268))</f>
        <v/>
      </c>
      <c r="AG268" s="33">
        <f>AE268-AF268</f>
        <v/>
      </c>
      <c r="AH268" s="33">
        <f>IF('Your debts'!$F$11="",0,MIN(AG268,MAX(0,MAX(0,'Your debts'!$C$19-(G268+L268+Q268+V268+AA268+AF268+AK268+AP268+AU268+AZ268))-(IF(AND('Your debts'!$F$6&lt;&gt;"",'Your debts'!$F$11&lt;&gt;"",'Your debts'!$F$6&lt;'Your debts'!$F$11),H268,0)+IF(AND('Your debts'!$F$7&lt;&gt;"",'Your debts'!$F$11&lt;&gt;"",'Your debts'!$F$7&lt;'Your debts'!$F$11),M268,0)+IF(AND('Your debts'!$F$8&lt;&gt;"",'Your debts'!$F$11&lt;&gt;"",'Your debts'!$F$8&lt;'Your debts'!$F$11),R268,0)+IF(AND('Your debts'!$F$9&lt;&gt;"",'Your debts'!$F$11&lt;&gt;"",'Your debts'!$F$9&lt;'Your debts'!$F$11),W268,0)+IF(AND('Your debts'!$F$10&lt;&gt;"",'Your debts'!$F$11&lt;&gt;"",'Your debts'!$F$10&lt;'Your debts'!$F$11),AB268,0)+IF(AND('Your debts'!$F$12&lt;&gt;"",'Your debts'!$F$11&lt;&gt;"",'Your debts'!$F$12&lt;'Your debts'!$F$11),AL268,0)+IF(AND('Your debts'!$F$13&lt;&gt;"",'Your debts'!$F$11&lt;&gt;"",'Your debts'!$F$13&lt;'Your debts'!$F$11),AQ268,0)+IF(AND('Your debts'!$F$14&lt;&gt;"",'Your debts'!$F$11&lt;&gt;"",'Your debts'!$F$14&lt;'Your debts'!$F$11),AV268,0)+IF(AND('Your debts'!$F$15&lt;&gt;"",'Your debts'!$F$11&lt;&gt;"",'Your debts'!$F$15&lt;'Your debts'!$F$11),BA268,0)))))</f>
        <v/>
      </c>
      <c r="AI268" s="33">
        <f>AG268-AH268</f>
        <v/>
      </c>
      <c r="AJ268" s="33">
        <f>IF(AN267&lt;=0,0,ROUND(AN267*(1+'Your debts'!$D$12/1200),2))</f>
        <v/>
      </c>
      <c r="AK268" s="33">
        <f>IF(AJ268&lt;=0,0,MIN('Your debts'!$E$12,AJ268))</f>
        <v/>
      </c>
      <c r="AL268" s="33">
        <f>AJ268-AK268</f>
        <v/>
      </c>
      <c r="AM268" s="33">
        <f>IF('Your debts'!$F$12="",0,MIN(AL268,MAX(0,MAX(0,'Your debts'!$C$19-(G268+L268+Q268+V268+AA268+AF268+AK268+AP268+AU268+AZ268))-(IF(AND('Your debts'!$F$6&lt;&gt;"",'Your debts'!$F$12&lt;&gt;"",'Your debts'!$F$6&lt;'Your debts'!$F$12),H268,0)+IF(AND('Your debts'!$F$7&lt;&gt;"",'Your debts'!$F$12&lt;&gt;"",'Your debts'!$F$7&lt;'Your debts'!$F$12),M268,0)+IF(AND('Your debts'!$F$8&lt;&gt;"",'Your debts'!$F$12&lt;&gt;"",'Your debts'!$F$8&lt;'Your debts'!$F$12),R268,0)+IF(AND('Your debts'!$F$9&lt;&gt;"",'Your debts'!$F$12&lt;&gt;"",'Your debts'!$F$9&lt;'Your debts'!$F$12),W268,0)+IF(AND('Your debts'!$F$10&lt;&gt;"",'Your debts'!$F$12&lt;&gt;"",'Your debts'!$F$10&lt;'Your debts'!$F$12),AB268,0)+IF(AND('Your debts'!$F$11&lt;&gt;"",'Your debts'!$F$12&lt;&gt;"",'Your debts'!$F$11&lt;'Your debts'!$F$12),AG268,0)+IF(AND('Your debts'!$F$13&lt;&gt;"",'Your debts'!$F$12&lt;&gt;"",'Your debts'!$F$13&lt;'Your debts'!$F$12),AQ268,0)+IF(AND('Your debts'!$F$14&lt;&gt;"",'Your debts'!$F$12&lt;&gt;"",'Your debts'!$F$14&lt;'Your debts'!$F$12),AV268,0)+IF(AND('Your debts'!$F$15&lt;&gt;"",'Your debts'!$F$12&lt;&gt;"",'Your debts'!$F$15&lt;'Your debts'!$F$12),BA268,0)))))</f>
        <v/>
      </c>
      <c r="AN268" s="33">
        <f>AL268-AM268</f>
        <v/>
      </c>
      <c r="AO268" s="33">
        <f>IF(AS267&lt;=0,0,ROUND(AS267*(1+'Your debts'!$D$13/1200),2))</f>
        <v/>
      </c>
      <c r="AP268" s="33">
        <f>IF(AO268&lt;=0,0,MIN('Your debts'!$E$13,AO268))</f>
        <v/>
      </c>
      <c r="AQ268" s="33">
        <f>AO268-AP268</f>
        <v/>
      </c>
      <c r="AR268" s="33">
        <f>IF('Your debts'!$F$13="",0,MIN(AQ268,MAX(0,MAX(0,'Your debts'!$C$19-(G268+L268+Q268+V268+AA268+AF268+AK268+AP268+AU268+AZ268))-(IF(AND('Your debts'!$F$6&lt;&gt;"",'Your debts'!$F$13&lt;&gt;"",'Your debts'!$F$6&lt;'Your debts'!$F$13),H268,0)+IF(AND('Your debts'!$F$7&lt;&gt;"",'Your debts'!$F$13&lt;&gt;"",'Your debts'!$F$7&lt;'Your debts'!$F$13),M268,0)+IF(AND('Your debts'!$F$8&lt;&gt;"",'Your debts'!$F$13&lt;&gt;"",'Your debts'!$F$8&lt;'Your debts'!$F$13),R268,0)+IF(AND('Your debts'!$F$9&lt;&gt;"",'Your debts'!$F$13&lt;&gt;"",'Your debts'!$F$9&lt;'Your debts'!$F$13),W268,0)+IF(AND('Your debts'!$F$10&lt;&gt;"",'Your debts'!$F$13&lt;&gt;"",'Your debts'!$F$10&lt;'Your debts'!$F$13),AB268,0)+IF(AND('Your debts'!$F$11&lt;&gt;"",'Your debts'!$F$13&lt;&gt;"",'Your debts'!$F$11&lt;'Your debts'!$F$13),AG268,0)+IF(AND('Your debts'!$F$12&lt;&gt;"",'Your debts'!$F$13&lt;&gt;"",'Your debts'!$F$12&lt;'Your debts'!$F$13),AL268,0)+IF(AND('Your debts'!$F$14&lt;&gt;"",'Your debts'!$F$13&lt;&gt;"",'Your debts'!$F$14&lt;'Your debts'!$F$13),AV268,0)+IF(AND('Your debts'!$F$15&lt;&gt;"",'Your debts'!$F$13&lt;&gt;"",'Your debts'!$F$15&lt;'Your debts'!$F$13),BA268,0)))))</f>
        <v/>
      </c>
      <c r="AS268" s="33">
        <f>AQ268-AR268</f>
        <v/>
      </c>
      <c r="AT268" s="33">
        <f>IF(AX267&lt;=0,0,ROUND(AX267*(1+'Your debts'!$D$14/1200),2))</f>
        <v/>
      </c>
      <c r="AU268" s="33">
        <f>IF(AT268&lt;=0,0,MIN('Your debts'!$E$14,AT268))</f>
        <v/>
      </c>
      <c r="AV268" s="33">
        <f>AT268-AU268</f>
        <v/>
      </c>
      <c r="AW268" s="33">
        <f>IF('Your debts'!$F$14="",0,MIN(AV268,MAX(0,MAX(0,'Your debts'!$C$19-(G268+L268+Q268+V268+AA268+AF268+AK268+AP268+AU268+AZ268))-(IF(AND('Your debts'!$F$6&lt;&gt;"",'Your debts'!$F$14&lt;&gt;"",'Your debts'!$F$6&lt;'Your debts'!$F$14),H268,0)+IF(AND('Your debts'!$F$7&lt;&gt;"",'Your debts'!$F$14&lt;&gt;"",'Your debts'!$F$7&lt;'Your debts'!$F$14),M268,0)+IF(AND('Your debts'!$F$8&lt;&gt;"",'Your debts'!$F$14&lt;&gt;"",'Your debts'!$F$8&lt;'Your debts'!$F$14),R268,0)+IF(AND('Your debts'!$F$9&lt;&gt;"",'Your debts'!$F$14&lt;&gt;"",'Your debts'!$F$9&lt;'Your debts'!$F$14),W268,0)+IF(AND('Your debts'!$F$10&lt;&gt;"",'Your debts'!$F$14&lt;&gt;"",'Your debts'!$F$10&lt;'Your debts'!$F$14),AB268,0)+IF(AND('Your debts'!$F$11&lt;&gt;"",'Your debts'!$F$14&lt;&gt;"",'Your debts'!$F$11&lt;'Your debts'!$F$14),AG268,0)+IF(AND('Your debts'!$F$12&lt;&gt;"",'Your debts'!$F$14&lt;&gt;"",'Your debts'!$F$12&lt;'Your debts'!$F$14),AL268,0)+IF(AND('Your debts'!$F$13&lt;&gt;"",'Your debts'!$F$14&lt;&gt;"",'Your debts'!$F$13&lt;'Your debts'!$F$14),AQ268,0)+IF(AND('Your debts'!$F$15&lt;&gt;"",'Your debts'!$F$14&lt;&gt;"",'Your debts'!$F$15&lt;'Your debts'!$F$14),BA268,0)))))</f>
        <v/>
      </c>
      <c r="AX268" s="33">
        <f>AV268-AW268</f>
        <v/>
      </c>
      <c r="AY268" s="33">
        <f>IF(BC267&lt;=0,0,ROUND(BC267*(1+'Your debts'!$D$15/1200),2))</f>
        <v/>
      </c>
      <c r="AZ268" s="33">
        <f>IF(AY268&lt;=0,0,MIN('Your debts'!$E$15,AY268))</f>
        <v/>
      </c>
      <c r="BA268" s="33">
        <f>AY268-AZ268</f>
        <v/>
      </c>
      <c r="BB268" s="33">
        <f>IF('Your debts'!$F$15="",0,MIN(BA268,MAX(0,MAX(0,'Your debts'!$C$19-(G268+L268+Q268+V268+AA268+AF268+AK268+AP268+AU268+AZ268))-(IF(AND('Your debts'!$F$6&lt;&gt;"",'Your debts'!$F$15&lt;&gt;"",'Your debts'!$F$6&lt;'Your debts'!$F$15),H268,0)+IF(AND('Your debts'!$F$7&lt;&gt;"",'Your debts'!$F$15&lt;&gt;"",'Your debts'!$F$7&lt;'Your debts'!$F$15),M268,0)+IF(AND('Your debts'!$F$8&lt;&gt;"",'Your debts'!$F$15&lt;&gt;"",'Your debts'!$F$8&lt;'Your debts'!$F$15),R268,0)+IF(AND('Your debts'!$F$9&lt;&gt;"",'Your debts'!$F$15&lt;&gt;"",'Your debts'!$F$9&lt;'Your debts'!$F$15),W268,0)+IF(AND('Your debts'!$F$10&lt;&gt;"",'Your debts'!$F$15&lt;&gt;"",'Your debts'!$F$10&lt;'Your debts'!$F$15),AB268,0)+IF(AND('Your debts'!$F$11&lt;&gt;"",'Your debts'!$F$15&lt;&gt;"",'Your debts'!$F$11&lt;'Your debts'!$F$15),AG268,0)+IF(AND('Your debts'!$F$12&lt;&gt;"",'Your debts'!$F$15&lt;&gt;"",'Your debts'!$F$12&lt;'Your debts'!$F$15),AL268,0)+IF(AND('Your debts'!$F$13&lt;&gt;"",'Your debts'!$F$15&lt;&gt;"",'Your debts'!$F$13&lt;'Your debts'!$F$15),AQ268,0)+IF(AND('Your debts'!$F$14&lt;&gt;"",'Your debts'!$F$15&lt;&gt;"",'Your debts'!$F$14&lt;'Your debts'!$F$15),AV268,0)))))</f>
        <v/>
      </c>
      <c r="BC268" s="33">
        <f>BA268-BB268</f>
        <v/>
      </c>
    </row>
    <row r="269">
      <c r="A269" s="30" t="n">
        <v>254</v>
      </c>
      <c r="B269" s="31">
        <f>EDATE($B$15,254)</f>
        <v/>
      </c>
      <c r="C269" s="32">
        <f>IF(J268&lt;=0,0,F269-J268)+IF(O268&lt;=0,0,K269-O268)+IF(T268&lt;=0,0,P269-T268)+IF(Y268&lt;=0,0,U269-Y268)+IF(AD268&lt;=0,0,Z269-AD268)+IF(AI268&lt;=0,0,AE269-AI268)+IF(AN268&lt;=0,0,AJ269-AN268)+IF(AS268&lt;=0,0,AO269-AS268)+IF(AX268&lt;=0,0,AT269-AX268)+IF(BC268&lt;=0,0,AY269-BC268)</f>
        <v/>
      </c>
      <c r="D269" s="32">
        <f>G269+I269+L269+N269+Q269+S269+V269+X269+AA269+AC269+AF269+AH269+AK269+AM269+AP269+AR269+AU269+AW269+AZ269+BB269</f>
        <v/>
      </c>
      <c r="E269" s="32">
        <f>J269+O269+T269+Y269+AD269+AI269+AN269+AS269+AX269+BC269</f>
        <v/>
      </c>
      <c r="F269" s="33">
        <f>IF(J268&lt;=0,0,ROUND(J268*(1+'Your debts'!$D$6/1200),2))</f>
        <v/>
      </c>
      <c r="G269" s="33">
        <f>IF(F269&lt;=0,0,MIN('Your debts'!$E$6,F269))</f>
        <v/>
      </c>
      <c r="H269" s="33">
        <f>F269-G269</f>
        <v/>
      </c>
      <c r="I269" s="33">
        <f>IF('Your debts'!$F$6="",0,MIN(H269,MAX(0,MAX(0,'Your debts'!$C$19-(G269+L269+Q269+V269+AA269+AF269+AK269+AP269+AU269+AZ269))-(IF(AND('Your debts'!$F$7&lt;&gt;"",'Your debts'!$F$6&lt;&gt;"",'Your debts'!$F$7&lt;'Your debts'!$F$6),M269,0)+IF(AND('Your debts'!$F$8&lt;&gt;"",'Your debts'!$F$6&lt;&gt;"",'Your debts'!$F$8&lt;'Your debts'!$F$6),R269,0)+IF(AND('Your debts'!$F$9&lt;&gt;"",'Your debts'!$F$6&lt;&gt;"",'Your debts'!$F$9&lt;'Your debts'!$F$6),W269,0)+IF(AND('Your debts'!$F$10&lt;&gt;"",'Your debts'!$F$6&lt;&gt;"",'Your debts'!$F$10&lt;'Your debts'!$F$6),AB269,0)+IF(AND('Your debts'!$F$11&lt;&gt;"",'Your debts'!$F$6&lt;&gt;"",'Your debts'!$F$11&lt;'Your debts'!$F$6),AG269,0)+IF(AND('Your debts'!$F$12&lt;&gt;"",'Your debts'!$F$6&lt;&gt;"",'Your debts'!$F$12&lt;'Your debts'!$F$6),AL269,0)+IF(AND('Your debts'!$F$13&lt;&gt;"",'Your debts'!$F$6&lt;&gt;"",'Your debts'!$F$13&lt;'Your debts'!$F$6),AQ269,0)+IF(AND('Your debts'!$F$14&lt;&gt;"",'Your debts'!$F$6&lt;&gt;"",'Your debts'!$F$14&lt;'Your debts'!$F$6),AV269,0)+IF(AND('Your debts'!$F$15&lt;&gt;"",'Your debts'!$F$6&lt;&gt;"",'Your debts'!$F$15&lt;'Your debts'!$F$6),BA269,0)))))</f>
        <v/>
      </c>
      <c r="J269" s="33">
        <f>H269-I269</f>
        <v/>
      </c>
      <c r="K269" s="33">
        <f>IF(O268&lt;=0,0,ROUND(O268*(1+'Your debts'!$D$7/1200),2))</f>
        <v/>
      </c>
      <c r="L269" s="33">
        <f>IF(K269&lt;=0,0,MIN('Your debts'!$E$7,K269))</f>
        <v/>
      </c>
      <c r="M269" s="33">
        <f>K269-L269</f>
        <v/>
      </c>
      <c r="N269" s="33">
        <f>IF('Your debts'!$F$7="",0,MIN(M269,MAX(0,MAX(0,'Your debts'!$C$19-(G269+L269+Q269+V269+AA269+AF269+AK269+AP269+AU269+AZ269))-(IF(AND('Your debts'!$F$6&lt;&gt;"",'Your debts'!$F$7&lt;&gt;"",'Your debts'!$F$6&lt;'Your debts'!$F$7),H269,0)+IF(AND('Your debts'!$F$8&lt;&gt;"",'Your debts'!$F$7&lt;&gt;"",'Your debts'!$F$8&lt;'Your debts'!$F$7),R269,0)+IF(AND('Your debts'!$F$9&lt;&gt;"",'Your debts'!$F$7&lt;&gt;"",'Your debts'!$F$9&lt;'Your debts'!$F$7),W269,0)+IF(AND('Your debts'!$F$10&lt;&gt;"",'Your debts'!$F$7&lt;&gt;"",'Your debts'!$F$10&lt;'Your debts'!$F$7),AB269,0)+IF(AND('Your debts'!$F$11&lt;&gt;"",'Your debts'!$F$7&lt;&gt;"",'Your debts'!$F$11&lt;'Your debts'!$F$7),AG269,0)+IF(AND('Your debts'!$F$12&lt;&gt;"",'Your debts'!$F$7&lt;&gt;"",'Your debts'!$F$12&lt;'Your debts'!$F$7),AL269,0)+IF(AND('Your debts'!$F$13&lt;&gt;"",'Your debts'!$F$7&lt;&gt;"",'Your debts'!$F$13&lt;'Your debts'!$F$7),AQ269,0)+IF(AND('Your debts'!$F$14&lt;&gt;"",'Your debts'!$F$7&lt;&gt;"",'Your debts'!$F$14&lt;'Your debts'!$F$7),AV269,0)+IF(AND('Your debts'!$F$15&lt;&gt;"",'Your debts'!$F$7&lt;&gt;"",'Your debts'!$F$15&lt;'Your debts'!$F$7),BA269,0)))))</f>
        <v/>
      </c>
      <c r="O269" s="33">
        <f>M269-N269</f>
        <v/>
      </c>
      <c r="P269" s="33">
        <f>IF(T268&lt;=0,0,ROUND(T268*(1+'Your debts'!$D$8/1200),2))</f>
        <v/>
      </c>
      <c r="Q269" s="33">
        <f>IF(P269&lt;=0,0,MIN('Your debts'!$E$8,P269))</f>
        <v/>
      </c>
      <c r="R269" s="33">
        <f>P269-Q269</f>
        <v/>
      </c>
      <c r="S269" s="33">
        <f>IF('Your debts'!$F$8="",0,MIN(R269,MAX(0,MAX(0,'Your debts'!$C$19-(G269+L269+Q269+V269+AA269+AF269+AK269+AP269+AU269+AZ269))-(IF(AND('Your debts'!$F$6&lt;&gt;"",'Your debts'!$F$8&lt;&gt;"",'Your debts'!$F$6&lt;'Your debts'!$F$8),H269,0)+IF(AND('Your debts'!$F$7&lt;&gt;"",'Your debts'!$F$8&lt;&gt;"",'Your debts'!$F$7&lt;'Your debts'!$F$8),M269,0)+IF(AND('Your debts'!$F$9&lt;&gt;"",'Your debts'!$F$8&lt;&gt;"",'Your debts'!$F$9&lt;'Your debts'!$F$8),W269,0)+IF(AND('Your debts'!$F$10&lt;&gt;"",'Your debts'!$F$8&lt;&gt;"",'Your debts'!$F$10&lt;'Your debts'!$F$8),AB269,0)+IF(AND('Your debts'!$F$11&lt;&gt;"",'Your debts'!$F$8&lt;&gt;"",'Your debts'!$F$11&lt;'Your debts'!$F$8),AG269,0)+IF(AND('Your debts'!$F$12&lt;&gt;"",'Your debts'!$F$8&lt;&gt;"",'Your debts'!$F$12&lt;'Your debts'!$F$8),AL269,0)+IF(AND('Your debts'!$F$13&lt;&gt;"",'Your debts'!$F$8&lt;&gt;"",'Your debts'!$F$13&lt;'Your debts'!$F$8),AQ269,0)+IF(AND('Your debts'!$F$14&lt;&gt;"",'Your debts'!$F$8&lt;&gt;"",'Your debts'!$F$14&lt;'Your debts'!$F$8),AV269,0)+IF(AND('Your debts'!$F$15&lt;&gt;"",'Your debts'!$F$8&lt;&gt;"",'Your debts'!$F$15&lt;'Your debts'!$F$8),BA269,0)))))</f>
        <v/>
      </c>
      <c r="T269" s="33">
        <f>R269-S269</f>
        <v/>
      </c>
      <c r="U269" s="33">
        <f>IF(Y268&lt;=0,0,ROUND(Y268*(1+'Your debts'!$D$9/1200),2))</f>
        <v/>
      </c>
      <c r="V269" s="33">
        <f>IF(U269&lt;=0,0,MIN('Your debts'!$E$9,U269))</f>
        <v/>
      </c>
      <c r="W269" s="33">
        <f>U269-V269</f>
        <v/>
      </c>
      <c r="X269" s="33">
        <f>IF('Your debts'!$F$9="",0,MIN(W269,MAX(0,MAX(0,'Your debts'!$C$19-(G269+L269+Q269+V269+AA269+AF269+AK269+AP269+AU269+AZ269))-(IF(AND('Your debts'!$F$6&lt;&gt;"",'Your debts'!$F$9&lt;&gt;"",'Your debts'!$F$6&lt;'Your debts'!$F$9),H269,0)+IF(AND('Your debts'!$F$7&lt;&gt;"",'Your debts'!$F$9&lt;&gt;"",'Your debts'!$F$7&lt;'Your debts'!$F$9),M269,0)+IF(AND('Your debts'!$F$8&lt;&gt;"",'Your debts'!$F$9&lt;&gt;"",'Your debts'!$F$8&lt;'Your debts'!$F$9),R269,0)+IF(AND('Your debts'!$F$10&lt;&gt;"",'Your debts'!$F$9&lt;&gt;"",'Your debts'!$F$10&lt;'Your debts'!$F$9),AB269,0)+IF(AND('Your debts'!$F$11&lt;&gt;"",'Your debts'!$F$9&lt;&gt;"",'Your debts'!$F$11&lt;'Your debts'!$F$9),AG269,0)+IF(AND('Your debts'!$F$12&lt;&gt;"",'Your debts'!$F$9&lt;&gt;"",'Your debts'!$F$12&lt;'Your debts'!$F$9),AL269,0)+IF(AND('Your debts'!$F$13&lt;&gt;"",'Your debts'!$F$9&lt;&gt;"",'Your debts'!$F$13&lt;'Your debts'!$F$9),AQ269,0)+IF(AND('Your debts'!$F$14&lt;&gt;"",'Your debts'!$F$9&lt;&gt;"",'Your debts'!$F$14&lt;'Your debts'!$F$9),AV269,0)+IF(AND('Your debts'!$F$15&lt;&gt;"",'Your debts'!$F$9&lt;&gt;"",'Your debts'!$F$15&lt;'Your debts'!$F$9),BA269,0)))))</f>
        <v/>
      </c>
      <c r="Y269" s="33">
        <f>W269-X269</f>
        <v/>
      </c>
      <c r="Z269" s="33">
        <f>IF(AD268&lt;=0,0,ROUND(AD268*(1+'Your debts'!$D$10/1200),2))</f>
        <v/>
      </c>
      <c r="AA269" s="33">
        <f>IF(Z269&lt;=0,0,MIN('Your debts'!$E$10,Z269))</f>
        <v/>
      </c>
      <c r="AB269" s="33">
        <f>Z269-AA269</f>
        <v/>
      </c>
      <c r="AC269" s="33">
        <f>IF('Your debts'!$F$10="",0,MIN(AB269,MAX(0,MAX(0,'Your debts'!$C$19-(G269+L269+Q269+V269+AA269+AF269+AK269+AP269+AU269+AZ269))-(IF(AND('Your debts'!$F$6&lt;&gt;"",'Your debts'!$F$10&lt;&gt;"",'Your debts'!$F$6&lt;'Your debts'!$F$10),H269,0)+IF(AND('Your debts'!$F$7&lt;&gt;"",'Your debts'!$F$10&lt;&gt;"",'Your debts'!$F$7&lt;'Your debts'!$F$10),M269,0)+IF(AND('Your debts'!$F$8&lt;&gt;"",'Your debts'!$F$10&lt;&gt;"",'Your debts'!$F$8&lt;'Your debts'!$F$10),R269,0)+IF(AND('Your debts'!$F$9&lt;&gt;"",'Your debts'!$F$10&lt;&gt;"",'Your debts'!$F$9&lt;'Your debts'!$F$10),W269,0)+IF(AND('Your debts'!$F$11&lt;&gt;"",'Your debts'!$F$10&lt;&gt;"",'Your debts'!$F$11&lt;'Your debts'!$F$10),AG269,0)+IF(AND('Your debts'!$F$12&lt;&gt;"",'Your debts'!$F$10&lt;&gt;"",'Your debts'!$F$12&lt;'Your debts'!$F$10),AL269,0)+IF(AND('Your debts'!$F$13&lt;&gt;"",'Your debts'!$F$10&lt;&gt;"",'Your debts'!$F$13&lt;'Your debts'!$F$10),AQ269,0)+IF(AND('Your debts'!$F$14&lt;&gt;"",'Your debts'!$F$10&lt;&gt;"",'Your debts'!$F$14&lt;'Your debts'!$F$10),AV269,0)+IF(AND('Your debts'!$F$15&lt;&gt;"",'Your debts'!$F$10&lt;&gt;"",'Your debts'!$F$15&lt;'Your debts'!$F$10),BA269,0)))))</f>
        <v/>
      </c>
      <c r="AD269" s="33">
        <f>AB269-AC269</f>
        <v/>
      </c>
      <c r="AE269" s="33">
        <f>IF(AI268&lt;=0,0,ROUND(AI268*(1+'Your debts'!$D$11/1200),2))</f>
        <v/>
      </c>
      <c r="AF269" s="33">
        <f>IF(AE269&lt;=0,0,MIN('Your debts'!$E$11,AE269))</f>
        <v/>
      </c>
      <c r="AG269" s="33">
        <f>AE269-AF269</f>
        <v/>
      </c>
      <c r="AH269" s="33">
        <f>IF('Your debts'!$F$11="",0,MIN(AG269,MAX(0,MAX(0,'Your debts'!$C$19-(G269+L269+Q269+V269+AA269+AF269+AK269+AP269+AU269+AZ269))-(IF(AND('Your debts'!$F$6&lt;&gt;"",'Your debts'!$F$11&lt;&gt;"",'Your debts'!$F$6&lt;'Your debts'!$F$11),H269,0)+IF(AND('Your debts'!$F$7&lt;&gt;"",'Your debts'!$F$11&lt;&gt;"",'Your debts'!$F$7&lt;'Your debts'!$F$11),M269,0)+IF(AND('Your debts'!$F$8&lt;&gt;"",'Your debts'!$F$11&lt;&gt;"",'Your debts'!$F$8&lt;'Your debts'!$F$11),R269,0)+IF(AND('Your debts'!$F$9&lt;&gt;"",'Your debts'!$F$11&lt;&gt;"",'Your debts'!$F$9&lt;'Your debts'!$F$11),W269,0)+IF(AND('Your debts'!$F$10&lt;&gt;"",'Your debts'!$F$11&lt;&gt;"",'Your debts'!$F$10&lt;'Your debts'!$F$11),AB269,0)+IF(AND('Your debts'!$F$12&lt;&gt;"",'Your debts'!$F$11&lt;&gt;"",'Your debts'!$F$12&lt;'Your debts'!$F$11),AL269,0)+IF(AND('Your debts'!$F$13&lt;&gt;"",'Your debts'!$F$11&lt;&gt;"",'Your debts'!$F$13&lt;'Your debts'!$F$11),AQ269,0)+IF(AND('Your debts'!$F$14&lt;&gt;"",'Your debts'!$F$11&lt;&gt;"",'Your debts'!$F$14&lt;'Your debts'!$F$11),AV269,0)+IF(AND('Your debts'!$F$15&lt;&gt;"",'Your debts'!$F$11&lt;&gt;"",'Your debts'!$F$15&lt;'Your debts'!$F$11),BA269,0)))))</f>
        <v/>
      </c>
      <c r="AI269" s="33">
        <f>AG269-AH269</f>
        <v/>
      </c>
      <c r="AJ269" s="33">
        <f>IF(AN268&lt;=0,0,ROUND(AN268*(1+'Your debts'!$D$12/1200),2))</f>
        <v/>
      </c>
      <c r="AK269" s="33">
        <f>IF(AJ269&lt;=0,0,MIN('Your debts'!$E$12,AJ269))</f>
        <v/>
      </c>
      <c r="AL269" s="33">
        <f>AJ269-AK269</f>
        <v/>
      </c>
      <c r="AM269" s="33">
        <f>IF('Your debts'!$F$12="",0,MIN(AL269,MAX(0,MAX(0,'Your debts'!$C$19-(G269+L269+Q269+V269+AA269+AF269+AK269+AP269+AU269+AZ269))-(IF(AND('Your debts'!$F$6&lt;&gt;"",'Your debts'!$F$12&lt;&gt;"",'Your debts'!$F$6&lt;'Your debts'!$F$12),H269,0)+IF(AND('Your debts'!$F$7&lt;&gt;"",'Your debts'!$F$12&lt;&gt;"",'Your debts'!$F$7&lt;'Your debts'!$F$12),M269,0)+IF(AND('Your debts'!$F$8&lt;&gt;"",'Your debts'!$F$12&lt;&gt;"",'Your debts'!$F$8&lt;'Your debts'!$F$12),R269,0)+IF(AND('Your debts'!$F$9&lt;&gt;"",'Your debts'!$F$12&lt;&gt;"",'Your debts'!$F$9&lt;'Your debts'!$F$12),W269,0)+IF(AND('Your debts'!$F$10&lt;&gt;"",'Your debts'!$F$12&lt;&gt;"",'Your debts'!$F$10&lt;'Your debts'!$F$12),AB269,0)+IF(AND('Your debts'!$F$11&lt;&gt;"",'Your debts'!$F$12&lt;&gt;"",'Your debts'!$F$11&lt;'Your debts'!$F$12),AG269,0)+IF(AND('Your debts'!$F$13&lt;&gt;"",'Your debts'!$F$12&lt;&gt;"",'Your debts'!$F$13&lt;'Your debts'!$F$12),AQ269,0)+IF(AND('Your debts'!$F$14&lt;&gt;"",'Your debts'!$F$12&lt;&gt;"",'Your debts'!$F$14&lt;'Your debts'!$F$12),AV269,0)+IF(AND('Your debts'!$F$15&lt;&gt;"",'Your debts'!$F$12&lt;&gt;"",'Your debts'!$F$15&lt;'Your debts'!$F$12),BA269,0)))))</f>
        <v/>
      </c>
      <c r="AN269" s="33">
        <f>AL269-AM269</f>
        <v/>
      </c>
      <c r="AO269" s="33">
        <f>IF(AS268&lt;=0,0,ROUND(AS268*(1+'Your debts'!$D$13/1200),2))</f>
        <v/>
      </c>
      <c r="AP269" s="33">
        <f>IF(AO269&lt;=0,0,MIN('Your debts'!$E$13,AO269))</f>
        <v/>
      </c>
      <c r="AQ269" s="33">
        <f>AO269-AP269</f>
        <v/>
      </c>
      <c r="AR269" s="33">
        <f>IF('Your debts'!$F$13="",0,MIN(AQ269,MAX(0,MAX(0,'Your debts'!$C$19-(G269+L269+Q269+V269+AA269+AF269+AK269+AP269+AU269+AZ269))-(IF(AND('Your debts'!$F$6&lt;&gt;"",'Your debts'!$F$13&lt;&gt;"",'Your debts'!$F$6&lt;'Your debts'!$F$13),H269,0)+IF(AND('Your debts'!$F$7&lt;&gt;"",'Your debts'!$F$13&lt;&gt;"",'Your debts'!$F$7&lt;'Your debts'!$F$13),M269,0)+IF(AND('Your debts'!$F$8&lt;&gt;"",'Your debts'!$F$13&lt;&gt;"",'Your debts'!$F$8&lt;'Your debts'!$F$13),R269,0)+IF(AND('Your debts'!$F$9&lt;&gt;"",'Your debts'!$F$13&lt;&gt;"",'Your debts'!$F$9&lt;'Your debts'!$F$13),W269,0)+IF(AND('Your debts'!$F$10&lt;&gt;"",'Your debts'!$F$13&lt;&gt;"",'Your debts'!$F$10&lt;'Your debts'!$F$13),AB269,0)+IF(AND('Your debts'!$F$11&lt;&gt;"",'Your debts'!$F$13&lt;&gt;"",'Your debts'!$F$11&lt;'Your debts'!$F$13),AG269,0)+IF(AND('Your debts'!$F$12&lt;&gt;"",'Your debts'!$F$13&lt;&gt;"",'Your debts'!$F$12&lt;'Your debts'!$F$13),AL269,0)+IF(AND('Your debts'!$F$14&lt;&gt;"",'Your debts'!$F$13&lt;&gt;"",'Your debts'!$F$14&lt;'Your debts'!$F$13),AV269,0)+IF(AND('Your debts'!$F$15&lt;&gt;"",'Your debts'!$F$13&lt;&gt;"",'Your debts'!$F$15&lt;'Your debts'!$F$13),BA269,0)))))</f>
        <v/>
      </c>
      <c r="AS269" s="33">
        <f>AQ269-AR269</f>
        <v/>
      </c>
      <c r="AT269" s="33">
        <f>IF(AX268&lt;=0,0,ROUND(AX268*(1+'Your debts'!$D$14/1200),2))</f>
        <v/>
      </c>
      <c r="AU269" s="33">
        <f>IF(AT269&lt;=0,0,MIN('Your debts'!$E$14,AT269))</f>
        <v/>
      </c>
      <c r="AV269" s="33">
        <f>AT269-AU269</f>
        <v/>
      </c>
      <c r="AW269" s="33">
        <f>IF('Your debts'!$F$14="",0,MIN(AV269,MAX(0,MAX(0,'Your debts'!$C$19-(G269+L269+Q269+V269+AA269+AF269+AK269+AP269+AU269+AZ269))-(IF(AND('Your debts'!$F$6&lt;&gt;"",'Your debts'!$F$14&lt;&gt;"",'Your debts'!$F$6&lt;'Your debts'!$F$14),H269,0)+IF(AND('Your debts'!$F$7&lt;&gt;"",'Your debts'!$F$14&lt;&gt;"",'Your debts'!$F$7&lt;'Your debts'!$F$14),M269,0)+IF(AND('Your debts'!$F$8&lt;&gt;"",'Your debts'!$F$14&lt;&gt;"",'Your debts'!$F$8&lt;'Your debts'!$F$14),R269,0)+IF(AND('Your debts'!$F$9&lt;&gt;"",'Your debts'!$F$14&lt;&gt;"",'Your debts'!$F$9&lt;'Your debts'!$F$14),W269,0)+IF(AND('Your debts'!$F$10&lt;&gt;"",'Your debts'!$F$14&lt;&gt;"",'Your debts'!$F$10&lt;'Your debts'!$F$14),AB269,0)+IF(AND('Your debts'!$F$11&lt;&gt;"",'Your debts'!$F$14&lt;&gt;"",'Your debts'!$F$11&lt;'Your debts'!$F$14),AG269,0)+IF(AND('Your debts'!$F$12&lt;&gt;"",'Your debts'!$F$14&lt;&gt;"",'Your debts'!$F$12&lt;'Your debts'!$F$14),AL269,0)+IF(AND('Your debts'!$F$13&lt;&gt;"",'Your debts'!$F$14&lt;&gt;"",'Your debts'!$F$13&lt;'Your debts'!$F$14),AQ269,0)+IF(AND('Your debts'!$F$15&lt;&gt;"",'Your debts'!$F$14&lt;&gt;"",'Your debts'!$F$15&lt;'Your debts'!$F$14),BA269,0)))))</f>
        <v/>
      </c>
      <c r="AX269" s="33">
        <f>AV269-AW269</f>
        <v/>
      </c>
      <c r="AY269" s="33">
        <f>IF(BC268&lt;=0,0,ROUND(BC268*(1+'Your debts'!$D$15/1200),2))</f>
        <v/>
      </c>
      <c r="AZ269" s="33">
        <f>IF(AY269&lt;=0,0,MIN('Your debts'!$E$15,AY269))</f>
        <v/>
      </c>
      <c r="BA269" s="33">
        <f>AY269-AZ269</f>
        <v/>
      </c>
      <c r="BB269" s="33">
        <f>IF('Your debts'!$F$15="",0,MIN(BA269,MAX(0,MAX(0,'Your debts'!$C$19-(G269+L269+Q269+V269+AA269+AF269+AK269+AP269+AU269+AZ269))-(IF(AND('Your debts'!$F$6&lt;&gt;"",'Your debts'!$F$15&lt;&gt;"",'Your debts'!$F$6&lt;'Your debts'!$F$15),H269,0)+IF(AND('Your debts'!$F$7&lt;&gt;"",'Your debts'!$F$15&lt;&gt;"",'Your debts'!$F$7&lt;'Your debts'!$F$15),M269,0)+IF(AND('Your debts'!$F$8&lt;&gt;"",'Your debts'!$F$15&lt;&gt;"",'Your debts'!$F$8&lt;'Your debts'!$F$15),R269,0)+IF(AND('Your debts'!$F$9&lt;&gt;"",'Your debts'!$F$15&lt;&gt;"",'Your debts'!$F$9&lt;'Your debts'!$F$15),W269,0)+IF(AND('Your debts'!$F$10&lt;&gt;"",'Your debts'!$F$15&lt;&gt;"",'Your debts'!$F$10&lt;'Your debts'!$F$15),AB269,0)+IF(AND('Your debts'!$F$11&lt;&gt;"",'Your debts'!$F$15&lt;&gt;"",'Your debts'!$F$11&lt;'Your debts'!$F$15),AG269,0)+IF(AND('Your debts'!$F$12&lt;&gt;"",'Your debts'!$F$15&lt;&gt;"",'Your debts'!$F$12&lt;'Your debts'!$F$15),AL269,0)+IF(AND('Your debts'!$F$13&lt;&gt;"",'Your debts'!$F$15&lt;&gt;"",'Your debts'!$F$13&lt;'Your debts'!$F$15),AQ269,0)+IF(AND('Your debts'!$F$14&lt;&gt;"",'Your debts'!$F$15&lt;&gt;"",'Your debts'!$F$14&lt;'Your debts'!$F$15),AV269,0)))))</f>
        <v/>
      </c>
      <c r="BC269" s="33">
        <f>BA269-BB269</f>
        <v/>
      </c>
    </row>
    <row r="270">
      <c r="A270" s="30" t="n">
        <v>255</v>
      </c>
      <c r="B270" s="31">
        <f>EDATE($B$15,255)</f>
        <v/>
      </c>
      <c r="C270" s="32">
        <f>IF(J269&lt;=0,0,F270-J269)+IF(O269&lt;=0,0,K270-O269)+IF(T269&lt;=0,0,P270-T269)+IF(Y269&lt;=0,0,U270-Y269)+IF(AD269&lt;=0,0,Z270-AD269)+IF(AI269&lt;=0,0,AE270-AI269)+IF(AN269&lt;=0,0,AJ270-AN269)+IF(AS269&lt;=0,0,AO270-AS269)+IF(AX269&lt;=0,0,AT270-AX269)+IF(BC269&lt;=0,0,AY270-BC269)</f>
        <v/>
      </c>
      <c r="D270" s="32">
        <f>G270+I270+L270+N270+Q270+S270+V270+X270+AA270+AC270+AF270+AH270+AK270+AM270+AP270+AR270+AU270+AW270+AZ270+BB270</f>
        <v/>
      </c>
      <c r="E270" s="32">
        <f>J270+O270+T270+Y270+AD270+AI270+AN270+AS270+AX270+BC270</f>
        <v/>
      </c>
      <c r="F270" s="33">
        <f>IF(J269&lt;=0,0,ROUND(J269*(1+'Your debts'!$D$6/1200),2))</f>
        <v/>
      </c>
      <c r="G270" s="33">
        <f>IF(F270&lt;=0,0,MIN('Your debts'!$E$6,F270))</f>
        <v/>
      </c>
      <c r="H270" s="33">
        <f>F270-G270</f>
        <v/>
      </c>
      <c r="I270" s="33">
        <f>IF('Your debts'!$F$6="",0,MIN(H270,MAX(0,MAX(0,'Your debts'!$C$19-(G270+L270+Q270+V270+AA270+AF270+AK270+AP270+AU270+AZ270))-(IF(AND('Your debts'!$F$7&lt;&gt;"",'Your debts'!$F$6&lt;&gt;"",'Your debts'!$F$7&lt;'Your debts'!$F$6),M270,0)+IF(AND('Your debts'!$F$8&lt;&gt;"",'Your debts'!$F$6&lt;&gt;"",'Your debts'!$F$8&lt;'Your debts'!$F$6),R270,0)+IF(AND('Your debts'!$F$9&lt;&gt;"",'Your debts'!$F$6&lt;&gt;"",'Your debts'!$F$9&lt;'Your debts'!$F$6),W270,0)+IF(AND('Your debts'!$F$10&lt;&gt;"",'Your debts'!$F$6&lt;&gt;"",'Your debts'!$F$10&lt;'Your debts'!$F$6),AB270,0)+IF(AND('Your debts'!$F$11&lt;&gt;"",'Your debts'!$F$6&lt;&gt;"",'Your debts'!$F$11&lt;'Your debts'!$F$6),AG270,0)+IF(AND('Your debts'!$F$12&lt;&gt;"",'Your debts'!$F$6&lt;&gt;"",'Your debts'!$F$12&lt;'Your debts'!$F$6),AL270,0)+IF(AND('Your debts'!$F$13&lt;&gt;"",'Your debts'!$F$6&lt;&gt;"",'Your debts'!$F$13&lt;'Your debts'!$F$6),AQ270,0)+IF(AND('Your debts'!$F$14&lt;&gt;"",'Your debts'!$F$6&lt;&gt;"",'Your debts'!$F$14&lt;'Your debts'!$F$6),AV270,0)+IF(AND('Your debts'!$F$15&lt;&gt;"",'Your debts'!$F$6&lt;&gt;"",'Your debts'!$F$15&lt;'Your debts'!$F$6),BA270,0)))))</f>
        <v/>
      </c>
      <c r="J270" s="33">
        <f>H270-I270</f>
        <v/>
      </c>
      <c r="K270" s="33">
        <f>IF(O269&lt;=0,0,ROUND(O269*(1+'Your debts'!$D$7/1200),2))</f>
        <v/>
      </c>
      <c r="L270" s="33">
        <f>IF(K270&lt;=0,0,MIN('Your debts'!$E$7,K270))</f>
        <v/>
      </c>
      <c r="M270" s="33">
        <f>K270-L270</f>
        <v/>
      </c>
      <c r="N270" s="33">
        <f>IF('Your debts'!$F$7="",0,MIN(M270,MAX(0,MAX(0,'Your debts'!$C$19-(G270+L270+Q270+V270+AA270+AF270+AK270+AP270+AU270+AZ270))-(IF(AND('Your debts'!$F$6&lt;&gt;"",'Your debts'!$F$7&lt;&gt;"",'Your debts'!$F$6&lt;'Your debts'!$F$7),H270,0)+IF(AND('Your debts'!$F$8&lt;&gt;"",'Your debts'!$F$7&lt;&gt;"",'Your debts'!$F$8&lt;'Your debts'!$F$7),R270,0)+IF(AND('Your debts'!$F$9&lt;&gt;"",'Your debts'!$F$7&lt;&gt;"",'Your debts'!$F$9&lt;'Your debts'!$F$7),W270,0)+IF(AND('Your debts'!$F$10&lt;&gt;"",'Your debts'!$F$7&lt;&gt;"",'Your debts'!$F$10&lt;'Your debts'!$F$7),AB270,0)+IF(AND('Your debts'!$F$11&lt;&gt;"",'Your debts'!$F$7&lt;&gt;"",'Your debts'!$F$11&lt;'Your debts'!$F$7),AG270,0)+IF(AND('Your debts'!$F$12&lt;&gt;"",'Your debts'!$F$7&lt;&gt;"",'Your debts'!$F$12&lt;'Your debts'!$F$7),AL270,0)+IF(AND('Your debts'!$F$13&lt;&gt;"",'Your debts'!$F$7&lt;&gt;"",'Your debts'!$F$13&lt;'Your debts'!$F$7),AQ270,0)+IF(AND('Your debts'!$F$14&lt;&gt;"",'Your debts'!$F$7&lt;&gt;"",'Your debts'!$F$14&lt;'Your debts'!$F$7),AV270,0)+IF(AND('Your debts'!$F$15&lt;&gt;"",'Your debts'!$F$7&lt;&gt;"",'Your debts'!$F$15&lt;'Your debts'!$F$7),BA270,0)))))</f>
        <v/>
      </c>
      <c r="O270" s="33">
        <f>M270-N270</f>
        <v/>
      </c>
      <c r="P270" s="33">
        <f>IF(T269&lt;=0,0,ROUND(T269*(1+'Your debts'!$D$8/1200),2))</f>
        <v/>
      </c>
      <c r="Q270" s="33">
        <f>IF(P270&lt;=0,0,MIN('Your debts'!$E$8,P270))</f>
        <v/>
      </c>
      <c r="R270" s="33">
        <f>P270-Q270</f>
        <v/>
      </c>
      <c r="S270" s="33">
        <f>IF('Your debts'!$F$8="",0,MIN(R270,MAX(0,MAX(0,'Your debts'!$C$19-(G270+L270+Q270+V270+AA270+AF270+AK270+AP270+AU270+AZ270))-(IF(AND('Your debts'!$F$6&lt;&gt;"",'Your debts'!$F$8&lt;&gt;"",'Your debts'!$F$6&lt;'Your debts'!$F$8),H270,0)+IF(AND('Your debts'!$F$7&lt;&gt;"",'Your debts'!$F$8&lt;&gt;"",'Your debts'!$F$7&lt;'Your debts'!$F$8),M270,0)+IF(AND('Your debts'!$F$9&lt;&gt;"",'Your debts'!$F$8&lt;&gt;"",'Your debts'!$F$9&lt;'Your debts'!$F$8),W270,0)+IF(AND('Your debts'!$F$10&lt;&gt;"",'Your debts'!$F$8&lt;&gt;"",'Your debts'!$F$10&lt;'Your debts'!$F$8),AB270,0)+IF(AND('Your debts'!$F$11&lt;&gt;"",'Your debts'!$F$8&lt;&gt;"",'Your debts'!$F$11&lt;'Your debts'!$F$8),AG270,0)+IF(AND('Your debts'!$F$12&lt;&gt;"",'Your debts'!$F$8&lt;&gt;"",'Your debts'!$F$12&lt;'Your debts'!$F$8),AL270,0)+IF(AND('Your debts'!$F$13&lt;&gt;"",'Your debts'!$F$8&lt;&gt;"",'Your debts'!$F$13&lt;'Your debts'!$F$8),AQ270,0)+IF(AND('Your debts'!$F$14&lt;&gt;"",'Your debts'!$F$8&lt;&gt;"",'Your debts'!$F$14&lt;'Your debts'!$F$8),AV270,0)+IF(AND('Your debts'!$F$15&lt;&gt;"",'Your debts'!$F$8&lt;&gt;"",'Your debts'!$F$15&lt;'Your debts'!$F$8),BA270,0)))))</f>
        <v/>
      </c>
      <c r="T270" s="33">
        <f>R270-S270</f>
        <v/>
      </c>
      <c r="U270" s="33">
        <f>IF(Y269&lt;=0,0,ROUND(Y269*(1+'Your debts'!$D$9/1200),2))</f>
        <v/>
      </c>
      <c r="V270" s="33">
        <f>IF(U270&lt;=0,0,MIN('Your debts'!$E$9,U270))</f>
        <v/>
      </c>
      <c r="W270" s="33">
        <f>U270-V270</f>
        <v/>
      </c>
      <c r="X270" s="33">
        <f>IF('Your debts'!$F$9="",0,MIN(W270,MAX(0,MAX(0,'Your debts'!$C$19-(G270+L270+Q270+V270+AA270+AF270+AK270+AP270+AU270+AZ270))-(IF(AND('Your debts'!$F$6&lt;&gt;"",'Your debts'!$F$9&lt;&gt;"",'Your debts'!$F$6&lt;'Your debts'!$F$9),H270,0)+IF(AND('Your debts'!$F$7&lt;&gt;"",'Your debts'!$F$9&lt;&gt;"",'Your debts'!$F$7&lt;'Your debts'!$F$9),M270,0)+IF(AND('Your debts'!$F$8&lt;&gt;"",'Your debts'!$F$9&lt;&gt;"",'Your debts'!$F$8&lt;'Your debts'!$F$9),R270,0)+IF(AND('Your debts'!$F$10&lt;&gt;"",'Your debts'!$F$9&lt;&gt;"",'Your debts'!$F$10&lt;'Your debts'!$F$9),AB270,0)+IF(AND('Your debts'!$F$11&lt;&gt;"",'Your debts'!$F$9&lt;&gt;"",'Your debts'!$F$11&lt;'Your debts'!$F$9),AG270,0)+IF(AND('Your debts'!$F$12&lt;&gt;"",'Your debts'!$F$9&lt;&gt;"",'Your debts'!$F$12&lt;'Your debts'!$F$9),AL270,0)+IF(AND('Your debts'!$F$13&lt;&gt;"",'Your debts'!$F$9&lt;&gt;"",'Your debts'!$F$13&lt;'Your debts'!$F$9),AQ270,0)+IF(AND('Your debts'!$F$14&lt;&gt;"",'Your debts'!$F$9&lt;&gt;"",'Your debts'!$F$14&lt;'Your debts'!$F$9),AV270,0)+IF(AND('Your debts'!$F$15&lt;&gt;"",'Your debts'!$F$9&lt;&gt;"",'Your debts'!$F$15&lt;'Your debts'!$F$9),BA270,0)))))</f>
        <v/>
      </c>
      <c r="Y270" s="33">
        <f>W270-X270</f>
        <v/>
      </c>
      <c r="Z270" s="33">
        <f>IF(AD269&lt;=0,0,ROUND(AD269*(1+'Your debts'!$D$10/1200),2))</f>
        <v/>
      </c>
      <c r="AA270" s="33">
        <f>IF(Z270&lt;=0,0,MIN('Your debts'!$E$10,Z270))</f>
        <v/>
      </c>
      <c r="AB270" s="33">
        <f>Z270-AA270</f>
        <v/>
      </c>
      <c r="AC270" s="33">
        <f>IF('Your debts'!$F$10="",0,MIN(AB270,MAX(0,MAX(0,'Your debts'!$C$19-(G270+L270+Q270+V270+AA270+AF270+AK270+AP270+AU270+AZ270))-(IF(AND('Your debts'!$F$6&lt;&gt;"",'Your debts'!$F$10&lt;&gt;"",'Your debts'!$F$6&lt;'Your debts'!$F$10),H270,0)+IF(AND('Your debts'!$F$7&lt;&gt;"",'Your debts'!$F$10&lt;&gt;"",'Your debts'!$F$7&lt;'Your debts'!$F$10),M270,0)+IF(AND('Your debts'!$F$8&lt;&gt;"",'Your debts'!$F$10&lt;&gt;"",'Your debts'!$F$8&lt;'Your debts'!$F$10),R270,0)+IF(AND('Your debts'!$F$9&lt;&gt;"",'Your debts'!$F$10&lt;&gt;"",'Your debts'!$F$9&lt;'Your debts'!$F$10),W270,0)+IF(AND('Your debts'!$F$11&lt;&gt;"",'Your debts'!$F$10&lt;&gt;"",'Your debts'!$F$11&lt;'Your debts'!$F$10),AG270,0)+IF(AND('Your debts'!$F$12&lt;&gt;"",'Your debts'!$F$10&lt;&gt;"",'Your debts'!$F$12&lt;'Your debts'!$F$10),AL270,0)+IF(AND('Your debts'!$F$13&lt;&gt;"",'Your debts'!$F$10&lt;&gt;"",'Your debts'!$F$13&lt;'Your debts'!$F$10),AQ270,0)+IF(AND('Your debts'!$F$14&lt;&gt;"",'Your debts'!$F$10&lt;&gt;"",'Your debts'!$F$14&lt;'Your debts'!$F$10),AV270,0)+IF(AND('Your debts'!$F$15&lt;&gt;"",'Your debts'!$F$10&lt;&gt;"",'Your debts'!$F$15&lt;'Your debts'!$F$10),BA270,0)))))</f>
        <v/>
      </c>
      <c r="AD270" s="33">
        <f>AB270-AC270</f>
        <v/>
      </c>
      <c r="AE270" s="33">
        <f>IF(AI269&lt;=0,0,ROUND(AI269*(1+'Your debts'!$D$11/1200),2))</f>
        <v/>
      </c>
      <c r="AF270" s="33">
        <f>IF(AE270&lt;=0,0,MIN('Your debts'!$E$11,AE270))</f>
        <v/>
      </c>
      <c r="AG270" s="33">
        <f>AE270-AF270</f>
        <v/>
      </c>
      <c r="AH270" s="33">
        <f>IF('Your debts'!$F$11="",0,MIN(AG270,MAX(0,MAX(0,'Your debts'!$C$19-(G270+L270+Q270+V270+AA270+AF270+AK270+AP270+AU270+AZ270))-(IF(AND('Your debts'!$F$6&lt;&gt;"",'Your debts'!$F$11&lt;&gt;"",'Your debts'!$F$6&lt;'Your debts'!$F$11),H270,0)+IF(AND('Your debts'!$F$7&lt;&gt;"",'Your debts'!$F$11&lt;&gt;"",'Your debts'!$F$7&lt;'Your debts'!$F$11),M270,0)+IF(AND('Your debts'!$F$8&lt;&gt;"",'Your debts'!$F$11&lt;&gt;"",'Your debts'!$F$8&lt;'Your debts'!$F$11),R270,0)+IF(AND('Your debts'!$F$9&lt;&gt;"",'Your debts'!$F$11&lt;&gt;"",'Your debts'!$F$9&lt;'Your debts'!$F$11),W270,0)+IF(AND('Your debts'!$F$10&lt;&gt;"",'Your debts'!$F$11&lt;&gt;"",'Your debts'!$F$10&lt;'Your debts'!$F$11),AB270,0)+IF(AND('Your debts'!$F$12&lt;&gt;"",'Your debts'!$F$11&lt;&gt;"",'Your debts'!$F$12&lt;'Your debts'!$F$11),AL270,0)+IF(AND('Your debts'!$F$13&lt;&gt;"",'Your debts'!$F$11&lt;&gt;"",'Your debts'!$F$13&lt;'Your debts'!$F$11),AQ270,0)+IF(AND('Your debts'!$F$14&lt;&gt;"",'Your debts'!$F$11&lt;&gt;"",'Your debts'!$F$14&lt;'Your debts'!$F$11),AV270,0)+IF(AND('Your debts'!$F$15&lt;&gt;"",'Your debts'!$F$11&lt;&gt;"",'Your debts'!$F$15&lt;'Your debts'!$F$11),BA270,0)))))</f>
        <v/>
      </c>
      <c r="AI270" s="33">
        <f>AG270-AH270</f>
        <v/>
      </c>
      <c r="AJ270" s="33">
        <f>IF(AN269&lt;=0,0,ROUND(AN269*(1+'Your debts'!$D$12/1200),2))</f>
        <v/>
      </c>
      <c r="AK270" s="33">
        <f>IF(AJ270&lt;=0,0,MIN('Your debts'!$E$12,AJ270))</f>
        <v/>
      </c>
      <c r="AL270" s="33">
        <f>AJ270-AK270</f>
        <v/>
      </c>
      <c r="AM270" s="33">
        <f>IF('Your debts'!$F$12="",0,MIN(AL270,MAX(0,MAX(0,'Your debts'!$C$19-(G270+L270+Q270+V270+AA270+AF270+AK270+AP270+AU270+AZ270))-(IF(AND('Your debts'!$F$6&lt;&gt;"",'Your debts'!$F$12&lt;&gt;"",'Your debts'!$F$6&lt;'Your debts'!$F$12),H270,0)+IF(AND('Your debts'!$F$7&lt;&gt;"",'Your debts'!$F$12&lt;&gt;"",'Your debts'!$F$7&lt;'Your debts'!$F$12),M270,0)+IF(AND('Your debts'!$F$8&lt;&gt;"",'Your debts'!$F$12&lt;&gt;"",'Your debts'!$F$8&lt;'Your debts'!$F$12),R270,0)+IF(AND('Your debts'!$F$9&lt;&gt;"",'Your debts'!$F$12&lt;&gt;"",'Your debts'!$F$9&lt;'Your debts'!$F$12),W270,0)+IF(AND('Your debts'!$F$10&lt;&gt;"",'Your debts'!$F$12&lt;&gt;"",'Your debts'!$F$10&lt;'Your debts'!$F$12),AB270,0)+IF(AND('Your debts'!$F$11&lt;&gt;"",'Your debts'!$F$12&lt;&gt;"",'Your debts'!$F$11&lt;'Your debts'!$F$12),AG270,0)+IF(AND('Your debts'!$F$13&lt;&gt;"",'Your debts'!$F$12&lt;&gt;"",'Your debts'!$F$13&lt;'Your debts'!$F$12),AQ270,0)+IF(AND('Your debts'!$F$14&lt;&gt;"",'Your debts'!$F$12&lt;&gt;"",'Your debts'!$F$14&lt;'Your debts'!$F$12),AV270,0)+IF(AND('Your debts'!$F$15&lt;&gt;"",'Your debts'!$F$12&lt;&gt;"",'Your debts'!$F$15&lt;'Your debts'!$F$12),BA270,0)))))</f>
        <v/>
      </c>
      <c r="AN270" s="33">
        <f>AL270-AM270</f>
        <v/>
      </c>
      <c r="AO270" s="33">
        <f>IF(AS269&lt;=0,0,ROUND(AS269*(1+'Your debts'!$D$13/1200),2))</f>
        <v/>
      </c>
      <c r="AP270" s="33">
        <f>IF(AO270&lt;=0,0,MIN('Your debts'!$E$13,AO270))</f>
        <v/>
      </c>
      <c r="AQ270" s="33">
        <f>AO270-AP270</f>
        <v/>
      </c>
      <c r="AR270" s="33">
        <f>IF('Your debts'!$F$13="",0,MIN(AQ270,MAX(0,MAX(0,'Your debts'!$C$19-(G270+L270+Q270+V270+AA270+AF270+AK270+AP270+AU270+AZ270))-(IF(AND('Your debts'!$F$6&lt;&gt;"",'Your debts'!$F$13&lt;&gt;"",'Your debts'!$F$6&lt;'Your debts'!$F$13),H270,0)+IF(AND('Your debts'!$F$7&lt;&gt;"",'Your debts'!$F$13&lt;&gt;"",'Your debts'!$F$7&lt;'Your debts'!$F$13),M270,0)+IF(AND('Your debts'!$F$8&lt;&gt;"",'Your debts'!$F$13&lt;&gt;"",'Your debts'!$F$8&lt;'Your debts'!$F$13),R270,0)+IF(AND('Your debts'!$F$9&lt;&gt;"",'Your debts'!$F$13&lt;&gt;"",'Your debts'!$F$9&lt;'Your debts'!$F$13),W270,0)+IF(AND('Your debts'!$F$10&lt;&gt;"",'Your debts'!$F$13&lt;&gt;"",'Your debts'!$F$10&lt;'Your debts'!$F$13),AB270,0)+IF(AND('Your debts'!$F$11&lt;&gt;"",'Your debts'!$F$13&lt;&gt;"",'Your debts'!$F$11&lt;'Your debts'!$F$13),AG270,0)+IF(AND('Your debts'!$F$12&lt;&gt;"",'Your debts'!$F$13&lt;&gt;"",'Your debts'!$F$12&lt;'Your debts'!$F$13),AL270,0)+IF(AND('Your debts'!$F$14&lt;&gt;"",'Your debts'!$F$13&lt;&gt;"",'Your debts'!$F$14&lt;'Your debts'!$F$13),AV270,0)+IF(AND('Your debts'!$F$15&lt;&gt;"",'Your debts'!$F$13&lt;&gt;"",'Your debts'!$F$15&lt;'Your debts'!$F$13),BA270,0)))))</f>
        <v/>
      </c>
      <c r="AS270" s="33">
        <f>AQ270-AR270</f>
        <v/>
      </c>
      <c r="AT270" s="33">
        <f>IF(AX269&lt;=0,0,ROUND(AX269*(1+'Your debts'!$D$14/1200),2))</f>
        <v/>
      </c>
      <c r="AU270" s="33">
        <f>IF(AT270&lt;=0,0,MIN('Your debts'!$E$14,AT270))</f>
        <v/>
      </c>
      <c r="AV270" s="33">
        <f>AT270-AU270</f>
        <v/>
      </c>
      <c r="AW270" s="33">
        <f>IF('Your debts'!$F$14="",0,MIN(AV270,MAX(0,MAX(0,'Your debts'!$C$19-(G270+L270+Q270+V270+AA270+AF270+AK270+AP270+AU270+AZ270))-(IF(AND('Your debts'!$F$6&lt;&gt;"",'Your debts'!$F$14&lt;&gt;"",'Your debts'!$F$6&lt;'Your debts'!$F$14),H270,0)+IF(AND('Your debts'!$F$7&lt;&gt;"",'Your debts'!$F$14&lt;&gt;"",'Your debts'!$F$7&lt;'Your debts'!$F$14),M270,0)+IF(AND('Your debts'!$F$8&lt;&gt;"",'Your debts'!$F$14&lt;&gt;"",'Your debts'!$F$8&lt;'Your debts'!$F$14),R270,0)+IF(AND('Your debts'!$F$9&lt;&gt;"",'Your debts'!$F$14&lt;&gt;"",'Your debts'!$F$9&lt;'Your debts'!$F$14),W270,0)+IF(AND('Your debts'!$F$10&lt;&gt;"",'Your debts'!$F$14&lt;&gt;"",'Your debts'!$F$10&lt;'Your debts'!$F$14),AB270,0)+IF(AND('Your debts'!$F$11&lt;&gt;"",'Your debts'!$F$14&lt;&gt;"",'Your debts'!$F$11&lt;'Your debts'!$F$14),AG270,0)+IF(AND('Your debts'!$F$12&lt;&gt;"",'Your debts'!$F$14&lt;&gt;"",'Your debts'!$F$12&lt;'Your debts'!$F$14),AL270,0)+IF(AND('Your debts'!$F$13&lt;&gt;"",'Your debts'!$F$14&lt;&gt;"",'Your debts'!$F$13&lt;'Your debts'!$F$14),AQ270,0)+IF(AND('Your debts'!$F$15&lt;&gt;"",'Your debts'!$F$14&lt;&gt;"",'Your debts'!$F$15&lt;'Your debts'!$F$14),BA270,0)))))</f>
        <v/>
      </c>
      <c r="AX270" s="33">
        <f>AV270-AW270</f>
        <v/>
      </c>
      <c r="AY270" s="33">
        <f>IF(BC269&lt;=0,0,ROUND(BC269*(1+'Your debts'!$D$15/1200),2))</f>
        <v/>
      </c>
      <c r="AZ270" s="33">
        <f>IF(AY270&lt;=0,0,MIN('Your debts'!$E$15,AY270))</f>
        <v/>
      </c>
      <c r="BA270" s="33">
        <f>AY270-AZ270</f>
        <v/>
      </c>
      <c r="BB270" s="33">
        <f>IF('Your debts'!$F$15="",0,MIN(BA270,MAX(0,MAX(0,'Your debts'!$C$19-(G270+L270+Q270+V270+AA270+AF270+AK270+AP270+AU270+AZ270))-(IF(AND('Your debts'!$F$6&lt;&gt;"",'Your debts'!$F$15&lt;&gt;"",'Your debts'!$F$6&lt;'Your debts'!$F$15),H270,0)+IF(AND('Your debts'!$F$7&lt;&gt;"",'Your debts'!$F$15&lt;&gt;"",'Your debts'!$F$7&lt;'Your debts'!$F$15),M270,0)+IF(AND('Your debts'!$F$8&lt;&gt;"",'Your debts'!$F$15&lt;&gt;"",'Your debts'!$F$8&lt;'Your debts'!$F$15),R270,0)+IF(AND('Your debts'!$F$9&lt;&gt;"",'Your debts'!$F$15&lt;&gt;"",'Your debts'!$F$9&lt;'Your debts'!$F$15),W270,0)+IF(AND('Your debts'!$F$10&lt;&gt;"",'Your debts'!$F$15&lt;&gt;"",'Your debts'!$F$10&lt;'Your debts'!$F$15),AB270,0)+IF(AND('Your debts'!$F$11&lt;&gt;"",'Your debts'!$F$15&lt;&gt;"",'Your debts'!$F$11&lt;'Your debts'!$F$15),AG270,0)+IF(AND('Your debts'!$F$12&lt;&gt;"",'Your debts'!$F$15&lt;&gt;"",'Your debts'!$F$12&lt;'Your debts'!$F$15),AL270,0)+IF(AND('Your debts'!$F$13&lt;&gt;"",'Your debts'!$F$15&lt;&gt;"",'Your debts'!$F$13&lt;'Your debts'!$F$15),AQ270,0)+IF(AND('Your debts'!$F$14&lt;&gt;"",'Your debts'!$F$15&lt;&gt;"",'Your debts'!$F$14&lt;'Your debts'!$F$15),AV270,0)))))</f>
        <v/>
      </c>
      <c r="BC270" s="33">
        <f>BA270-BB270</f>
        <v/>
      </c>
    </row>
    <row r="271">
      <c r="A271" s="30" t="n">
        <v>256</v>
      </c>
      <c r="B271" s="31">
        <f>EDATE($B$15,256)</f>
        <v/>
      </c>
      <c r="C271" s="32">
        <f>IF(J270&lt;=0,0,F271-J270)+IF(O270&lt;=0,0,K271-O270)+IF(T270&lt;=0,0,P271-T270)+IF(Y270&lt;=0,0,U271-Y270)+IF(AD270&lt;=0,0,Z271-AD270)+IF(AI270&lt;=0,0,AE271-AI270)+IF(AN270&lt;=0,0,AJ271-AN270)+IF(AS270&lt;=0,0,AO271-AS270)+IF(AX270&lt;=0,0,AT271-AX270)+IF(BC270&lt;=0,0,AY271-BC270)</f>
        <v/>
      </c>
      <c r="D271" s="32">
        <f>G271+I271+L271+N271+Q271+S271+V271+X271+AA271+AC271+AF271+AH271+AK271+AM271+AP271+AR271+AU271+AW271+AZ271+BB271</f>
        <v/>
      </c>
      <c r="E271" s="32">
        <f>J271+O271+T271+Y271+AD271+AI271+AN271+AS271+AX271+BC271</f>
        <v/>
      </c>
      <c r="F271" s="33">
        <f>IF(J270&lt;=0,0,ROUND(J270*(1+'Your debts'!$D$6/1200),2))</f>
        <v/>
      </c>
      <c r="G271" s="33">
        <f>IF(F271&lt;=0,0,MIN('Your debts'!$E$6,F271))</f>
        <v/>
      </c>
      <c r="H271" s="33">
        <f>F271-G271</f>
        <v/>
      </c>
      <c r="I271" s="33">
        <f>IF('Your debts'!$F$6="",0,MIN(H271,MAX(0,MAX(0,'Your debts'!$C$19-(G271+L271+Q271+V271+AA271+AF271+AK271+AP271+AU271+AZ271))-(IF(AND('Your debts'!$F$7&lt;&gt;"",'Your debts'!$F$6&lt;&gt;"",'Your debts'!$F$7&lt;'Your debts'!$F$6),M271,0)+IF(AND('Your debts'!$F$8&lt;&gt;"",'Your debts'!$F$6&lt;&gt;"",'Your debts'!$F$8&lt;'Your debts'!$F$6),R271,0)+IF(AND('Your debts'!$F$9&lt;&gt;"",'Your debts'!$F$6&lt;&gt;"",'Your debts'!$F$9&lt;'Your debts'!$F$6),W271,0)+IF(AND('Your debts'!$F$10&lt;&gt;"",'Your debts'!$F$6&lt;&gt;"",'Your debts'!$F$10&lt;'Your debts'!$F$6),AB271,0)+IF(AND('Your debts'!$F$11&lt;&gt;"",'Your debts'!$F$6&lt;&gt;"",'Your debts'!$F$11&lt;'Your debts'!$F$6),AG271,0)+IF(AND('Your debts'!$F$12&lt;&gt;"",'Your debts'!$F$6&lt;&gt;"",'Your debts'!$F$12&lt;'Your debts'!$F$6),AL271,0)+IF(AND('Your debts'!$F$13&lt;&gt;"",'Your debts'!$F$6&lt;&gt;"",'Your debts'!$F$13&lt;'Your debts'!$F$6),AQ271,0)+IF(AND('Your debts'!$F$14&lt;&gt;"",'Your debts'!$F$6&lt;&gt;"",'Your debts'!$F$14&lt;'Your debts'!$F$6),AV271,0)+IF(AND('Your debts'!$F$15&lt;&gt;"",'Your debts'!$F$6&lt;&gt;"",'Your debts'!$F$15&lt;'Your debts'!$F$6),BA271,0)))))</f>
        <v/>
      </c>
      <c r="J271" s="33">
        <f>H271-I271</f>
        <v/>
      </c>
      <c r="K271" s="33">
        <f>IF(O270&lt;=0,0,ROUND(O270*(1+'Your debts'!$D$7/1200),2))</f>
        <v/>
      </c>
      <c r="L271" s="33">
        <f>IF(K271&lt;=0,0,MIN('Your debts'!$E$7,K271))</f>
        <v/>
      </c>
      <c r="M271" s="33">
        <f>K271-L271</f>
        <v/>
      </c>
      <c r="N271" s="33">
        <f>IF('Your debts'!$F$7="",0,MIN(M271,MAX(0,MAX(0,'Your debts'!$C$19-(G271+L271+Q271+V271+AA271+AF271+AK271+AP271+AU271+AZ271))-(IF(AND('Your debts'!$F$6&lt;&gt;"",'Your debts'!$F$7&lt;&gt;"",'Your debts'!$F$6&lt;'Your debts'!$F$7),H271,0)+IF(AND('Your debts'!$F$8&lt;&gt;"",'Your debts'!$F$7&lt;&gt;"",'Your debts'!$F$8&lt;'Your debts'!$F$7),R271,0)+IF(AND('Your debts'!$F$9&lt;&gt;"",'Your debts'!$F$7&lt;&gt;"",'Your debts'!$F$9&lt;'Your debts'!$F$7),W271,0)+IF(AND('Your debts'!$F$10&lt;&gt;"",'Your debts'!$F$7&lt;&gt;"",'Your debts'!$F$10&lt;'Your debts'!$F$7),AB271,0)+IF(AND('Your debts'!$F$11&lt;&gt;"",'Your debts'!$F$7&lt;&gt;"",'Your debts'!$F$11&lt;'Your debts'!$F$7),AG271,0)+IF(AND('Your debts'!$F$12&lt;&gt;"",'Your debts'!$F$7&lt;&gt;"",'Your debts'!$F$12&lt;'Your debts'!$F$7),AL271,0)+IF(AND('Your debts'!$F$13&lt;&gt;"",'Your debts'!$F$7&lt;&gt;"",'Your debts'!$F$13&lt;'Your debts'!$F$7),AQ271,0)+IF(AND('Your debts'!$F$14&lt;&gt;"",'Your debts'!$F$7&lt;&gt;"",'Your debts'!$F$14&lt;'Your debts'!$F$7),AV271,0)+IF(AND('Your debts'!$F$15&lt;&gt;"",'Your debts'!$F$7&lt;&gt;"",'Your debts'!$F$15&lt;'Your debts'!$F$7),BA271,0)))))</f>
        <v/>
      </c>
      <c r="O271" s="33">
        <f>M271-N271</f>
        <v/>
      </c>
      <c r="P271" s="33">
        <f>IF(T270&lt;=0,0,ROUND(T270*(1+'Your debts'!$D$8/1200),2))</f>
        <v/>
      </c>
      <c r="Q271" s="33">
        <f>IF(P271&lt;=0,0,MIN('Your debts'!$E$8,P271))</f>
        <v/>
      </c>
      <c r="R271" s="33">
        <f>P271-Q271</f>
        <v/>
      </c>
      <c r="S271" s="33">
        <f>IF('Your debts'!$F$8="",0,MIN(R271,MAX(0,MAX(0,'Your debts'!$C$19-(G271+L271+Q271+V271+AA271+AF271+AK271+AP271+AU271+AZ271))-(IF(AND('Your debts'!$F$6&lt;&gt;"",'Your debts'!$F$8&lt;&gt;"",'Your debts'!$F$6&lt;'Your debts'!$F$8),H271,0)+IF(AND('Your debts'!$F$7&lt;&gt;"",'Your debts'!$F$8&lt;&gt;"",'Your debts'!$F$7&lt;'Your debts'!$F$8),M271,0)+IF(AND('Your debts'!$F$9&lt;&gt;"",'Your debts'!$F$8&lt;&gt;"",'Your debts'!$F$9&lt;'Your debts'!$F$8),W271,0)+IF(AND('Your debts'!$F$10&lt;&gt;"",'Your debts'!$F$8&lt;&gt;"",'Your debts'!$F$10&lt;'Your debts'!$F$8),AB271,0)+IF(AND('Your debts'!$F$11&lt;&gt;"",'Your debts'!$F$8&lt;&gt;"",'Your debts'!$F$11&lt;'Your debts'!$F$8),AG271,0)+IF(AND('Your debts'!$F$12&lt;&gt;"",'Your debts'!$F$8&lt;&gt;"",'Your debts'!$F$12&lt;'Your debts'!$F$8),AL271,0)+IF(AND('Your debts'!$F$13&lt;&gt;"",'Your debts'!$F$8&lt;&gt;"",'Your debts'!$F$13&lt;'Your debts'!$F$8),AQ271,0)+IF(AND('Your debts'!$F$14&lt;&gt;"",'Your debts'!$F$8&lt;&gt;"",'Your debts'!$F$14&lt;'Your debts'!$F$8),AV271,0)+IF(AND('Your debts'!$F$15&lt;&gt;"",'Your debts'!$F$8&lt;&gt;"",'Your debts'!$F$15&lt;'Your debts'!$F$8),BA271,0)))))</f>
        <v/>
      </c>
      <c r="T271" s="33">
        <f>R271-S271</f>
        <v/>
      </c>
      <c r="U271" s="33">
        <f>IF(Y270&lt;=0,0,ROUND(Y270*(1+'Your debts'!$D$9/1200),2))</f>
        <v/>
      </c>
      <c r="V271" s="33">
        <f>IF(U271&lt;=0,0,MIN('Your debts'!$E$9,U271))</f>
        <v/>
      </c>
      <c r="W271" s="33">
        <f>U271-V271</f>
        <v/>
      </c>
      <c r="X271" s="33">
        <f>IF('Your debts'!$F$9="",0,MIN(W271,MAX(0,MAX(0,'Your debts'!$C$19-(G271+L271+Q271+V271+AA271+AF271+AK271+AP271+AU271+AZ271))-(IF(AND('Your debts'!$F$6&lt;&gt;"",'Your debts'!$F$9&lt;&gt;"",'Your debts'!$F$6&lt;'Your debts'!$F$9),H271,0)+IF(AND('Your debts'!$F$7&lt;&gt;"",'Your debts'!$F$9&lt;&gt;"",'Your debts'!$F$7&lt;'Your debts'!$F$9),M271,0)+IF(AND('Your debts'!$F$8&lt;&gt;"",'Your debts'!$F$9&lt;&gt;"",'Your debts'!$F$8&lt;'Your debts'!$F$9),R271,0)+IF(AND('Your debts'!$F$10&lt;&gt;"",'Your debts'!$F$9&lt;&gt;"",'Your debts'!$F$10&lt;'Your debts'!$F$9),AB271,0)+IF(AND('Your debts'!$F$11&lt;&gt;"",'Your debts'!$F$9&lt;&gt;"",'Your debts'!$F$11&lt;'Your debts'!$F$9),AG271,0)+IF(AND('Your debts'!$F$12&lt;&gt;"",'Your debts'!$F$9&lt;&gt;"",'Your debts'!$F$12&lt;'Your debts'!$F$9),AL271,0)+IF(AND('Your debts'!$F$13&lt;&gt;"",'Your debts'!$F$9&lt;&gt;"",'Your debts'!$F$13&lt;'Your debts'!$F$9),AQ271,0)+IF(AND('Your debts'!$F$14&lt;&gt;"",'Your debts'!$F$9&lt;&gt;"",'Your debts'!$F$14&lt;'Your debts'!$F$9),AV271,0)+IF(AND('Your debts'!$F$15&lt;&gt;"",'Your debts'!$F$9&lt;&gt;"",'Your debts'!$F$15&lt;'Your debts'!$F$9),BA271,0)))))</f>
        <v/>
      </c>
      <c r="Y271" s="33">
        <f>W271-X271</f>
        <v/>
      </c>
      <c r="Z271" s="33">
        <f>IF(AD270&lt;=0,0,ROUND(AD270*(1+'Your debts'!$D$10/1200),2))</f>
        <v/>
      </c>
      <c r="AA271" s="33">
        <f>IF(Z271&lt;=0,0,MIN('Your debts'!$E$10,Z271))</f>
        <v/>
      </c>
      <c r="AB271" s="33">
        <f>Z271-AA271</f>
        <v/>
      </c>
      <c r="AC271" s="33">
        <f>IF('Your debts'!$F$10="",0,MIN(AB271,MAX(0,MAX(0,'Your debts'!$C$19-(G271+L271+Q271+V271+AA271+AF271+AK271+AP271+AU271+AZ271))-(IF(AND('Your debts'!$F$6&lt;&gt;"",'Your debts'!$F$10&lt;&gt;"",'Your debts'!$F$6&lt;'Your debts'!$F$10),H271,0)+IF(AND('Your debts'!$F$7&lt;&gt;"",'Your debts'!$F$10&lt;&gt;"",'Your debts'!$F$7&lt;'Your debts'!$F$10),M271,0)+IF(AND('Your debts'!$F$8&lt;&gt;"",'Your debts'!$F$10&lt;&gt;"",'Your debts'!$F$8&lt;'Your debts'!$F$10),R271,0)+IF(AND('Your debts'!$F$9&lt;&gt;"",'Your debts'!$F$10&lt;&gt;"",'Your debts'!$F$9&lt;'Your debts'!$F$10),W271,0)+IF(AND('Your debts'!$F$11&lt;&gt;"",'Your debts'!$F$10&lt;&gt;"",'Your debts'!$F$11&lt;'Your debts'!$F$10),AG271,0)+IF(AND('Your debts'!$F$12&lt;&gt;"",'Your debts'!$F$10&lt;&gt;"",'Your debts'!$F$12&lt;'Your debts'!$F$10),AL271,0)+IF(AND('Your debts'!$F$13&lt;&gt;"",'Your debts'!$F$10&lt;&gt;"",'Your debts'!$F$13&lt;'Your debts'!$F$10),AQ271,0)+IF(AND('Your debts'!$F$14&lt;&gt;"",'Your debts'!$F$10&lt;&gt;"",'Your debts'!$F$14&lt;'Your debts'!$F$10),AV271,0)+IF(AND('Your debts'!$F$15&lt;&gt;"",'Your debts'!$F$10&lt;&gt;"",'Your debts'!$F$15&lt;'Your debts'!$F$10),BA271,0)))))</f>
        <v/>
      </c>
      <c r="AD271" s="33">
        <f>AB271-AC271</f>
        <v/>
      </c>
      <c r="AE271" s="33">
        <f>IF(AI270&lt;=0,0,ROUND(AI270*(1+'Your debts'!$D$11/1200),2))</f>
        <v/>
      </c>
      <c r="AF271" s="33">
        <f>IF(AE271&lt;=0,0,MIN('Your debts'!$E$11,AE271))</f>
        <v/>
      </c>
      <c r="AG271" s="33">
        <f>AE271-AF271</f>
        <v/>
      </c>
      <c r="AH271" s="33">
        <f>IF('Your debts'!$F$11="",0,MIN(AG271,MAX(0,MAX(0,'Your debts'!$C$19-(G271+L271+Q271+V271+AA271+AF271+AK271+AP271+AU271+AZ271))-(IF(AND('Your debts'!$F$6&lt;&gt;"",'Your debts'!$F$11&lt;&gt;"",'Your debts'!$F$6&lt;'Your debts'!$F$11),H271,0)+IF(AND('Your debts'!$F$7&lt;&gt;"",'Your debts'!$F$11&lt;&gt;"",'Your debts'!$F$7&lt;'Your debts'!$F$11),M271,0)+IF(AND('Your debts'!$F$8&lt;&gt;"",'Your debts'!$F$11&lt;&gt;"",'Your debts'!$F$8&lt;'Your debts'!$F$11),R271,0)+IF(AND('Your debts'!$F$9&lt;&gt;"",'Your debts'!$F$11&lt;&gt;"",'Your debts'!$F$9&lt;'Your debts'!$F$11),W271,0)+IF(AND('Your debts'!$F$10&lt;&gt;"",'Your debts'!$F$11&lt;&gt;"",'Your debts'!$F$10&lt;'Your debts'!$F$11),AB271,0)+IF(AND('Your debts'!$F$12&lt;&gt;"",'Your debts'!$F$11&lt;&gt;"",'Your debts'!$F$12&lt;'Your debts'!$F$11),AL271,0)+IF(AND('Your debts'!$F$13&lt;&gt;"",'Your debts'!$F$11&lt;&gt;"",'Your debts'!$F$13&lt;'Your debts'!$F$11),AQ271,0)+IF(AND('Your debts'!$F$14&lt;&gt;"",'Your debts'!$F$11&lt;&gt;"",'Your debts'!$F$14&lt;'Your debts'!$F$11),AV271,0)+IF(AND('Your debts'!$F$15&lt;&gt;"",'Your debts'!$F$11&lt;&gt;"",'Your debts'!$F$15&lt;'Your debts'!$F$11),BA271,0)))))</f>
        <v/>
      </c>
      <c r="AI271" s="33">
        <f>AG271-AH271</f>
        <v/>
      </c>
      <c r="AJ271" s="33">
        <f>IF(AN270&lt;=0,0,ROUND(AN270*(1+'Your debts'!$D$12/1200),2))</f>
        <v/>
      </c>
      <c r="AK271" s="33">
        <f>IF(AJ271&lt;=0,0,MIN('Your debts'!$E$12,AJ271))</f>
        <v/>
      </c>
      <c r="AL271" s="33">
        <f>AJ271-AK271</f>
        <v/>
      </c>
      <c r="AM271" s="33">
        <f>IF('Your debts'!$F$12="",0,MIN(AL271,MAX(0,MAX(0,'Your debts'!$C$19-(G271+L271+Q271+V271+AA271+AF271+AK271+AP271+AU271+AZ271))-(IF(AND('Your debts'!$F$6&lt;&gt;"",'Your debts'!$F$12&lt;&gt;"",'Your debts'!$F$6&lt;'Your debts'!$F$12),H271,0)+IF(AND('Your debts'!$F$7&lt;&gt;"",'Your debts'!$F$12&lt;&gt;"",'Your debts'!$F$7&lt;'Your debts'!$F$12),M271,0)+IF(AND('Your debts'!$F$8&lt;&gt;"",'Your debts'!$F$12&lt;&gt;"",'Your debts'!$F$8&lt;'Your debts'!$F$12),R271,0)+IF(AND('Your debts'!$F$9&lt;&gt;"",'Your debts'!$F$12&lt;&gt;"",'Your debts'!$F$9&lt;'Your debts'!$F$12),W271,0)+IF(AND('Your debts'!$F$10&lt;&gt;"",'Your debts'!$F$12&lt;&gt;"",'Your debts'!$F$10&lt;'Your debts'!$F$12),AB271,0)+IF(AND('Your debts'!$F$11&lt;&gt;"",'Your debts'!$F$12&lt;&gt;"",'Your debts'!$F$11&lt;'Your debts'!$F$12),AG271,0)+IF(AND('Your debts'!$F$13&lt;&gt;"",'Your debts'!$F$12&lt;&gt;"",'Your debts'!$F$13&lt;'Your debts'!$F$12),AQ271,0)+IF(AND('Your debts'!$F$14&lt;&gt;"",'Your debts'!$F$12&lt;&gt;"",'Your debts'!$F$14&lt;'Your debts'!$F$12),AV271,0)+IF(AND('Your debts'!$F$15&lt;&gt;"",'Your debts'!$F$12&lt;&gt;"",'Your debts'!$F$15&lt;'Your debts'!$F$12),BA271,0)))))</f>
        <v/>
      </c>
      <c r="AN271" s="33">
        <f>AL271-AM271</f>
        <v/>
      </c>
      <c r="AO271" s="33">
        <f>IF(AS270&lt;=0,0,ROUND(AS270*(1+'Your debts'!$D$13/1200),2))</f>
        <v/>
      </c>
      <c r="AP271" s="33">
        <f>IF(AO271&lt;=0,0,MIN('Your debts'!$E$13,AO271))</f>
        <v/>
      </c>
      <c r="AQ271" s="33">
        <f>AO271-AP271</f>
        <v/>
      </c>
      <c r="AR271" s="33">
        <f>IF('Your debts'!$F$13="",0,MIN(AQ271,MAX(0,MAX(0,'Your debts'!$C$19-(G271+L271+Q271+V271+AA271+AF271+AK271+AP271+AU271+AZ271))-(IF(AND('Your debts'!$F$6&lt;&gt;"",'Your debts'!$F$13&lt;&gt;"",'Your debts'!$F$6&lt;'Your debts'!$F$13),H271,0)+IF(AND('Your debts'!$F$7&lt;&gt;"",'Your debts'!$F$13&lt;&gt;"",'Your debts'!$F$7&lt;'Your debts'!$F$13),M271,0)+IF(AND('Your debts'!$F$8&lt;&gt;"",'Your debts'!$F$13&lt;&gt;"",'Your debts'!$F$8&lt;'Your debts'!$F$13),R271,0)+IF(AND('Your debts'!$F$9&lt;&gt;"",'Your debts'!$F$13&lt;&gt;"",'Your debts'!$F$9&lt;'Your debts'!$F$13),W271,0)+IF(AND('Your debts'!$F$10&lt;&gt;"",'Your debts'!$F$13&lt;&gt;"",'Your debts'!$F$10&lt;'Your debts'!$F$13),AB271,0)+IF(AND('Your debts'!$F$11&lt;&gt;"",'Your debts'!$F$13&lt;&gt;"",'Your debts'!$F$11&lt;'Your debts'!$F$13),AG271,0)+IF(AND('Your debts'!$F$12&lt;&gt;"",'Your debts'!$F$13&lt;&gt;"",'Your debts'!$F$12&lt;'Your debts'!$F$13),AL271,0)+IF(AND('Your debts'!$F$14&lt;&gt;"",'Your debts'!$F$13&lt;&gt;"",'Your debts'!$F$14&lt;'Your debts'!$F$13),AV271,0)+IF(AND('Your debts'!$F$15&lt;&gt;"",'Your debts'!$F$13&lt;&gt;"",'Your debts'!$F$15&lt;'Your debts'!$F$13),BA271,0)))))</f>
        <v/>
      </c>
      <c r="AS271" s="33">
        <f>AQ271-AR271</f>
        <v/>
      </c>
      <c r="AT271" s="33">
        <f>IF(AX270&lt;=0,0,ROUND(AX270*(1+'Your debts'!$D$14/1200),2))</f>
        <v/>
      </c>
      <c r="AU271" s="33">
        <f>IF(AT271&lt;=0,0,MIN('Your debts'!$E$14,AT271))</f>
        <v/>
      </c>
      <c r="AV271" s="33">
        <f>AT271-AU271</f>
        <v/>
      </c>
      <c r="AW271" s="33">
        <f>IF('Your debts'!$F$14="",0,MIN(AV271,MAX(0,MAX(0,'Your debts'!$C$19-(G271+L271+Q271+V271+AA271+AF271+AK271+AP271+AU271+AZ271))-(IF(AND('Your debts'!$F$6&lt;&gt;"",'Your debts'!$F$14&lt;&gt;"",'Your debts'!$F$6&lt;'Your debts'!$F$14),H271,0)+IF(AND('Your debts'!$F$7&lt;&gt;"",'Your debts'!$F$14&lt;&gt;"",'Your debts'!$F$7&lt;'Your debts'!$F$14),M271,0)+IF(AND('Your debts'!$F$8&lt;&gt;"",'Your debts'!$F$14&lt;&gt;"",'Your debts'!$F$8&lt;'Your debts'!$F$14),R271,0)+IF(AND('Your debts'!$F$9&lt;&gt;"",'Your debts'!$F$14&lt;&gt;"",'Your debts'!$F$9&lt;'Your debts'!$F$14),W271,0)+IF(AND('Your debts'!$F$10&lt;&gt;"",'Your debts'!$F$14&lt;&gt;"",'Your debts'!$F$10&lt;'Your debts'!$F$14),AB271,0)+IF(AND('Your debts'!$F$11&lt;&gt;"",'Your debts'!$F$14&lt;&gt;"",'Your debts'!$F$11&lt;'Your debts'!$F$14),AG271,0)+IF(AND('Your debts'!$F$12&lt;&gt;"",'Your debts'!$F$14&lt;&gt;"",'Your debts'!$F$12&lt;'Your debts'!$F$14),AL271,0)+IF(AND('Your debts'!$F$13&lt;&gt;"",'Your debts'!$F$14&lt;&gt;"",'Your debts'!$F$13&lt;'Your debts'!$F$14),AQ271,0)+IF(AND('Your debts'!$F$15&lt;&gt;"",'Your debts'!$F$14&lt;&gt;"",'Your debts'!$F$15&lt;'Your debts'!$F$14),BA271,0)))))</f>
        <v/>
      </c>
      <c r="AX271" s="33">
        <f>AV271-AW271</f>
        <v/>
      </c>
      <c r="AY271" s="33">
        <f>IF(BC270&lt;=0,0,ROUND(BC270*(1+'Your debts'!$D$15/1200),2))</f>
        <v/>
      </c>
      <c r="AZ271" s="33">
        <f>IF(AY271&lt;=0,0,MIN('Your debts'!$E$15,AY271))</f>
        <v/>
      </c>
      <c r="BA271" s="33">
        <f>AY271-AZ271</f>
        <v/>
      </c>
      <c r="BB271" s="33">
        <f>IF('Your debts'!$F$15="",0,MIN(BA271,MAX(0,MAX(0,'Your debts'!$C$19-(G271+L271+Q271+V271+AA271+AF271+AK271+AP271+AU271+AZ271))-(IF(AND('Your debts'!$F$6&lt;&gt;"",'Your debts'!$F$15&lt;&gt;"",'Your debts'!$F$6&lt;'Your debts'!$F$15),H271,0)+IF(AND('Your debts'!$F$7&lt;&gt;"",'Your debts'!$F$15&lt;&gt;"",'Your debts'!$F$7&lt;'Your debts'!$F$15),M271,0)+IF(AND('Your debts'!$F$8&lt;&gt;"",'Your debts'!$F$15&lt;&gt;"",'Your debts'!$F$8&lt;'Your debts'!$F$15),R271,0)+IF(AND('Your debts'!$F$9&lt;&gt;"",'Your debts'!$F$15&lt;&gt;"",'Your debts'!$F$9&lt;'Your debts'!$F$15),W271,0)+IF(AND('Your debts'!$F$10&lt;&gt;"",'Your debts'!$F$15&lt;&gt;"",'Your debts'!$F$10&lt;'Your debts'!$F$15),AB271,0)+IF(AND('Your debts'!$F$11&lt;&gt;"",'Your debts'!$F$15&lt;&gt;"",'Your debts'!$F$11&lt;'Your debts'!$F$15),AG271,0)+IF(AND('Your debts'!$F$12&lt;&gt;"",'Your debts'!$F$15&lt;&gt;"",'Your debts'!$F$12&lt;'Your debts'!$F$15),AL271,0)+IF(AND('Your debts'!$F$13&lt;&gt;"",'Your debts'!$F$15&lt;&gt;"",'Your debts'!$F$13&lt;'Your debts'!$F$15),AQ271,0)+IF(AND('Your debts'!$F$14&lt;&gt;"",'Your debts'!$F$15&lt;&gt;"",'Your debts'!$F$14&lt;'Your debts'!$F$15),AV271,0)))))</f>
        <v/>
      </c>
      <c r="BC271" s="33">
        <f>BA271-BB271</f>
        <v/>
      </c>
    </row>
    <row r="272">
      <c r="A272" s="30" t="n">
        <v>257</v>
      </c>
      <c r="B272" s="31">
        <f>EDATE($B$15,257)</f>
        <v/>
      </c>
      <c r="C272" s="32">
        <f>IF(J271&lt;=0,0,F272-J271)+IF(O271&lt;=0,0,K272-O271)+IF(T271&lt;=0,0,P272-T271)+IF(Y271&lt;=0,0,U272-Y271)+IF(AD271&lt;=0,0,Z272-AD271)+IF(AI271&lt;=0,0,AE272-AI271)+IF(AN271&lt;=0,0,AJ272-AN271)+IF(AS271&lt;=0,0,AO272-AS271)+IF(AX271&lt;=0,0,AT272-AX271)+IF(BC271&lt;=0,0,AY272-BC271)</f>
        <v/>
      </c>
      <c r="D272" s="32">
        <f>G272+I272+L272+N272+Q272+S272+V272+X272+AA272+AC272+AF272+AH272+AK272+AM272+AP272+AR272+AU272+AW272+AZ272+BB272</f>
        <v/>
      </c>
      <c r="E272" s="32">
        <f>J272+O272+T272+Y272+AD272+AI272+AN272+AS272+AX272+BC272</f>
        <v/>
      </c>
      <c r="F272" s="33">
        <f>IF(J271&lt;=0,0,ROUND(J271*(1+'Your debts'!$D$6/1200),2))</f>
        <v/>
      </c>
      <c r="G272" s="33">
        <f>IF(F272&lt;=0,0,MIN('Your debts'!$E$6,F272))</f>
        <v/>
      </c>
      <c r="H272" s="33">
        <f>F272-G272</f>
        <v/>
      </c>
      <c r="I272" s="33">
        <f>IF('Your debts'!$F$6="",0,MIN(H272,MAX(0,MAX(0,'Your debts'!$C$19-(G272+L272+Q272+V272+AA272+AF272+AK272+AP272+AU272+AZ272))-(IF(AND('Your debts'!$F$7&lt;&gt;"",'Your debts'!$F$6&lt;&gt;"",'Your debts'!$F$7&lt;'Your debts'!$F$6),M272,0)+IF(AND('Your debts'!$F$8&lt;&gt;"",'Your debts'!$F$6&lt;&gt;"",'Your debts'!$F$8&lt;'Your debts'!$F$6),R272,0)+IF(AND('Your debts'!$F$9&lt;&gt;"",'Your debts'!$F$6&lt;&gt;"",'Your debts'!$F$9&lt;'Your debts'!$F$6),W272,0)+IF(AND('Your debts'!$F$10&lt;&gt;"",'Your debts'!$F$6&lt;&gt;"",'Your debts'!$F$10&lt;'Your debts'!$F$6),AB272,0)+IF(AND('Your debts'!$F$11&lt;&gt;"",'Your debts'!$F$6&lt;&gt;"",'Your debts'!$F$11&lt;'Your debts'!$F$6),AG272,0)+IF(AND('Your debts'!$F$12&lt;&gt;"",'Your debts'!$F$6&lt;&gt;"",'Your debts'!$F$12&lt;'Your debts'!$F$6),AL272,0)+IF(AND('Your debts'!$F$13&lt;&gt;"",'Your debts'!$F$6&lt;&gt;"",'Your debts'!$F$13&lt;'Your debts'!$F$6),AQ272,0)+IF(AND('Your debts'!$F$14&lt;&gt;"",'Your debts'!$F$6&lt;&gt;"",'Your debts'!$F$14&lt;'Your debts'!$F$6),AV272,0)+IF(AND('Your debts'!$F$15&lt;&gt;"",'Your debts'!$F$6&lt;&gt;"",'Your debts'!$F$15&lt;'Your debts'!$F$6),BA272,0)))))</f>
        <v/>
      </c>
      <c r="J272" s="33">
        <f>H272-I272</f>
        <v/>
      </c>
      <c r="K272" s="33">
        <f>IF(O271&lt;=0,0,ROUND(O271*(1+'Your debts'!$D$7/1200),2))</f>
        <v/>
      </c>
      <c r="L272" s="33">
        <f>IF(K272&lt;=0,0,MIN('Your debts'!$E$7,K272))</f>
        <v/>
      </c>
      <c r="M272" s="33">
        <f>K272-L272</f>
        <v/>
      </c>
      <c r="N272" s="33">
        <f>IF('Your debts'!$F$7="",0,MIN(M272,MAX(0,MAX(0,'Your debts'!$C$19-(G272+L272+Q272+V272+AA272+AF272+AK272+AP272+AU272+AZ272))-(IF(AND('Your debts'!$F$6&lt;&gt;"",'Your debts'!$F$7&lt;&gt;"",'Your debts'!$F$6&lt;'Your debts'!$F$7),H272,0)+IF(AND('Your debts'!$F$8&lt;&gt;"",'Your debts'!$F$7&lt;&gt;"",'Your debts'!$F$8&lt;'Your debts'!$F$7),R272,0)+IF(AND('Your debts'!$F$9&lt;&gt;"",'Your debts'!$F$7&lt;&gt;"",'Your debts'!$F$9&lt;'Your debts'!$F$7),W272,0)+IF(AND('Your debts'!$F$10&lt;&gt;"",'Your debts'!$F$7&lt;&gt;"",'Your debts'!$F$10&lt;'Your debts'!$F$7),AB272,0)+IF(AND('Your debts'!$F$11&lt;&gt;"",'Your debts'!$F$7&lt;&gt;"",'Your debts'!$F$11&lt;'Your debts'!$F$7),AG272,0)+IF(AND('Your debts'!$F$12&lt;&gt;"",'Your debts'!$F$7&lt;&gt;"",'Your debts'!$F$12&lt;'Your debts'!$F$7),AL272,0)+IF(AND('Your debts'!$F$13&lt;&gt;"",'Your debts'!$F$7&lt;&gt;"",'Your debts'!$F$13&lt;'Your debts'!$F$7),AQ272,0)+IF(AND('Your debts'!$F$14&lt;&gt;"",'Your debts'!$F$7&lt;&gt;"",'Your debts'!$F$14&lt;'Your debts'!$F$7),AV272,0)+IF(AND('Your debts'!$F$15&lt;&gt;"",'Your debts'!$F$7&lt;&gt;"",'Your debts'!$F$15&lt;'Your debts'!$F$7),BA272,0)))))</f>
        <v/>
      </c>
      <c r="O272" s="33">
        <f>M272-N272</f>
        <v/>
      </c>
      <c r="P272" s="33">
        <f>IF(T271&lt;=0,0,ROUND(T271*(1+'Your debts'!$D$8/1200),2))</f>
        <v/>
      </c>
      <c r="Q272" s="33">
        <f>IF(P272&lt;=0,0,MIN('Your debts'!$E$8,P272))</f>
        <v/>
      </c>
      <c r="R272" s="33">
        <f>P272-Q272</f>
        <v/>
      </c>
      <c r="S272" s="33">
        <f>IF('Your debts'!$F$8="",0,MIN(R272,MAX(0,MAX(0,'Your debts'!$C$19-(G272+L272+Q272+V272+AA272+AF272+AK272+AP272+AU272+AZ272))-(IF(AND('Your debts'!$F$6&lt;&gt;"",'Your debts'!$F$8&lt;&gt;"",'Your debts'!$F$6&lt;'Your debts'!$F$8),H272,0)+IF(AND('Your debts'!$F$7&lt;&gt;"",'Your debts'!$F$8&lt;&gt;"",'Your debts'!$F$7&lt;'Your debts'!$F$8),M272,0)+IF(AND('Your debts'!$F$9&lt;&gt;"",'Your debts'!$F$8&lt;&gt;"",'Your debts'!$F$9&lt;'Your debts'!$F$8),W272,0)+IF(AND('Your debts'!$F$10&lt;&gt;"",'Your debts'!$F$8&lt;&gt;"",'Your debts'!$F$10&lt;'Your debts'!$F$8),AB272,0)+IF(AND('Your debts'!$F$11&lt;&gt;"",'Your debts'!$F$8&lt;&gt;"",'Your debts'!$F$11&lt;'Your debts'!$F$8),AG272,0)+IF(AND('Your debts'!$F$12&lt;&gt;"",'Your debts'!$F$8&lt;&gt;"",'Your debts'!$F$12&lt;'Your debts'!$F$8),AL272,0)+IF(AND('Your debts'!$F$13&lt;&gt;"",'Your debts'!$F$8&lt;&gt;"",'Your debts'!$F$13&lt;'Your debts'!$F$8),AQ272,0)+IF(AND('Your debts'!$F$14&lt;&gt;"",'Your debts'!$F$8&lt;&gt;"",'Your debts'!$F$14&lt;'Your debts'!$F$8),AV272,0)+IF(AND('Your debts'!$F$15&lt;&gt;"",'Your debts'!$F$8&lt;&gt;"",'Your debts'!$F$15&lt;'Your debts'!$F$8),BA272,0)))))</f>
        <v/>
      </c>
      <c r="T272" s="33">
        <f>R272-S272</f>
        <v/>
      </c>
      <c r="U272" s="33">
        <f>IF(Y271&lt;=0,0,ROUND(Y271*(1+'Your debts'!$D$9/1200),2))</f>
        <v/>
      </c>
      <c r="V272" s="33">
        <f>IF(U272&lt;=0,0,MIN('Your debts'!$E$9,U272))</f>
        <v/>
      </c>
      <c r="W272" s="33">
        <f>U272-V272</f>
        <v/>
      </c>
      <c r="X272" s="33">
        <f>IF('Your debts'!$F$9="",0,MIN(W272,MAX(0,MAX(0,'Your debts'!$C$19-(G272+L272+Q272+V272+AA272+AF272+AK272+AP272+AU272+AZ272))-(IF(AND('Your debts'!$F$6&lt;&gt;"",'Your debts'!$F$9&lt;&gt;"",'Your debts'!$F$6&lt;'Your debts'!$F$9),H272,0)+IF(AND('Your debts'!$F$7&lt;&gt;"",'Your debts'!$F$9&lt;&gt;"",'Your debts'!$F$7&lt;'Your debts'!$F$9),M272,0)+IF(AND('Your debts'!$F$8&lt;&gt;"",'Your debts'!$F$9&lt;&gt;"",'Your debts'!$F$8&lt;'Your debts'!$F$9),R272,0)+IF(AND('Your debts'!$F$10&lt;&gt;"",'Your debts'!$F$9&lt;&gt;"",'Your debts'!$F$10&lt;'Your debts'!$F$9),AB272,0)+IF(AND('Your debts'!$F$11&lt;&gt;"",'Your debts'!$F$9&lt;&gt;"",'Your debts'!$F$11&lt;'Your debts'!$F$9),AG272,0)+IF(AND('Your debts'!$F$12&lt;&gt;"",'Your debts'!$F$9&lt;&gt;"",'Your debts'!$F$12&lt;'Your debts'!$F$9),AL272,0)+IF(AND('Your debts'!$F$13&lt;&gt;"",'Your debts'!$F$9&lt;&gt;"",'Your debts'!$F$13&lt;'Your debts'!$F$9),AQ272,0)+IF(AND('Your debts'!$F$14&lt;&gt;"",'Your debts'!$F$9&lt;&gt;"",'Your debts'!$F$14&lt;'Your debts'!$F$9),AV272,0)+IF(AND('Your debts'!$F$15&lt;&gt;"",'Your debts'!$F$9&lt;&gt;"",'Your debts'!$F$15&lt;'Your debts'!$F$9),BA272,0)))))</f>
        <v/>
      </c>
      <c r="Y272" s="33">
        <f>W272-X272</f>
        <v/>
      </c>
      <c r="Z272" s="33">
        <f>IF(AD271&lt;=0,0,ROUND(AD271*(1+'Your debts'!$D$10/1200),2))</f>
        <v/>
      </c>
      <c r="AA272" s="33">
        <f>IF(Z272&lt;=0,0,MIN('Your debts'!$E$10,Z272))</f>
        <v/>
      </c>
      <c r="AB272" s="33">
        <f>Z272-AA272</f>
        <v/>
      </c>
      <c r="AC272" s="33">
        <f>IF('Your debts'!$F$10="",0,MIN(AB272,MAX(0,MAX(0,'Your debts'!$C$19-(G272+L272+Q272+V272+AA272+AF272+AK272+AP272+AU272+AZ272))-(IF(AND('Your debts'!$F$6&lt;&gt;"",'Your debts'!$F$10&lt;&gt;"",'Your debts'!$F$6&lt;'Your debts'!$F$10),H272,0)+IF(AND('Your debts'!$F$7&lt;&gt;"",'Your debts'!$F$10&lt;&gt;"",'Your debts'!$F$7&lt;'Your debts'!$F$10),M272,0)+IF(AND('Your debts'!$F$8&lt;&gt;"",'Your debts'!$F$10&lt;&gt;"",'Your debts'!$F$8&lt;'Your debts'!$F$10),R272,0)+IF(AND('Your debts'!$F$9&lt;&gt;"",'Your debts'!$F$10&lt;&gt;"",'Your debts'!$F$9&lt;'Your debts'!$F$10),W272,0)+IF(AND('Your debts'!$F$11&lt;&gt;"",'Your debts'!$F$10&lt;&gt;"",'Your debts'!$F$11&lt;'Your debts'!$F$10),AG272,0)+IF(AND('Your debts'!$F$12&lt;&gt;"",'Your debts'!$F$10&lt;&gt;"",'Your debts'!$F$12&lt;'Your debts'!$F$10),AL272,0)+IF(AND('Your debts'!$F$13&lt;&gt;"",'Your debts'!$F$10&lt;&gt;"",'Your debts'!$F$13&lt;'Your debts'!$F$10),AQ272,0)+IF(AND('Your debts'!$F$14&lt;&gt;"",'Your debts'!$F$10&lt;&gt;"",'Your debts'!$F$14&lt;'Your debts'!$F$10),AV272,0)+IF(AND('Your debts'!$F$15&lt;&gt;"",'Your debts'!$F$10&lt;&gt;"",'Your debts'!$F$15&lt;'Your debts'!$F$10),BA272,0)))))</f>
        <v/>
      </c>
      <c r="AD272" s="33">
        <f>AB272-AC272</f>
        <v/>
      </c>
      <c r="AE272" s="33">
        <f>IF(AI271&lt;=0,0,ROUND(AI271*(1+'Your debts'!$D$11/1200),2))</f>
        <v/>
      </c>
      <c r="AF272" s="33">
        <f>IF(AE272&lt;=0,0,MIN('Your debts'!$E$11,AE272))</f>
        <v/>
      </c>
      <c r="AG272" s="33">
        <f>AE272-AF272</f>
        <v/>
      </c>
      <c r="AH272" s="33">
        <f>IF('Your debts'!$F$11="",0,MIN(AG272,MAX(0,MAX(0,'Your debts'!$C$19-(G272+L272+Q272+V272+AA272+AF272+AK272+AP272+AU272+AZ272))-(IF(AND('Your debts'!$F$6&lt;&gt;"",'Your debts'!$F$11&lt;&gt;"",'Your debts'!$F$6&lt;'Your debts'!$F$11),H272,0)+IF(AND('Your debts'!$F$7&lt;&gt;"",'Your debts'!$F$11&lt;&gt;"",'Your debts'!$F$7&lt;'Your debts'!$F$11),M272,0)+IF(AND('Your debts'!$F$8&lt;&gt;"",'Your debts'!$F$11&lt;&gt;"",'Your debts'!$F$8&lt;'Your debts'!$F$11),R272,0)+IF(AND('Your debts'!$F$9&lt;&gt;"",'Your debts'!$F$11&lt;&gt;"",'Your debts'!$F$9&lt;'Your debts'!$F$11),W272,0)+IF(AND('Your debts'!$F$10&lt;&gt;"",'Your debts'!$F$11&lt;&gt;"",'Your debts'!$F$10&lt;'Your debts'!$F$11),AB272,0)+IF(AND('Your debts'!$F$12&lt;&gt;"",'Your debts'!$F$11&lt;&gt;"",'Your debts'!$F$12&lt;'Your debts'!$F$11),AL272,0)+IF(AND('Your debts'!$F$13&lt;&gt;"",'Your debts'!$F$11&lt;&gt;"",'Your debts'!$F$13&lt;'Your debts'!$F$11),AQ272,0)+IF(AND('Your debts'!$F$14&lt;&gt;"",'Your debts'!$F$11&lt;&gt;"",'Your debts'!$F$14&lt;'Your debts'!$F$11),AV272,0)+IF(AND('Your debts'!$F$15&lt;&gt;"",'Your debts'!$F$11&lt;&gt;"",'Your debts'!$F$15&lt;'Your debts'!$F$11),BA272,0)))))</f>
        <v/>
      </c>
      <c r="AI272" s="33">
        <f>AG272-AH272</f>
        <v/>
      </c>
      <c r="AJ272" s="33">
        <f>IF(AN271&lt;=0,0,ROUND(AN271*(1+'Your debts'!$D$12/1200),2))</f>
        <v/>
      </c>
      <c r="AK272" s="33">
        <f>IF(AJ272&lt;=0,0,MIN('Your debts'!$E$12,AJ272))</f>
        <v/>
      </c>
      <c r="AL272" s="33">
        <f>AJ272-AK272</f>
        <v/>
      </c>
      <c r="AM272" s="33">
        <f>IF('Your debts'!$F$12="",0,MIN(AL272,MAX(0,MAX(0,'Your debts'!$C$19-(G272+L272+Q272+V272+AA272+AF272+AK272+AP272+AU272+AZ272))-(IF(AND('Your debts'!$F$6&lt;&gt;"",'Your debts'!$F$12&lt;&gt;"",'Your debts'!$F$6&lt;'Your debts'!$F$12),H272,0)+IF(AND('Your debts'!$F$7&lt;&gt;"",'Your debts'!$F$12&lt;&gt;"",'Your debts'!$F$7&lt;'Your debts'!$F$12),M272,0)+IF(AND('Your debts'!$F$8&lt;&gt;"",'Your debts'!$F$12&lt;&gt;"",'Your debts'!$F$8&lt;'Your debts'!$F$12),R272,0)+IF(AND('Your debts'!$F$9&lt;&gt;"",'Your debts'!$F$12&lt;&gt;"",'Your debts'!$F$9&lt;'Your debts'!$F$12),W272,0)+IF(AND('Your debts'!$F$10&lt;&gt;"",'Your debts'!$F$12&lt;&gt;"",'Your debts'!$F$10&lt;'Your debts'!$F$12),AB272,0)+IF(AND('Your debts'!$F$11&lt;&gt;"",'Your debts'!$F$12&lt;&gt;"",'Your debts'!$F$11&lt;'Your debts'!$F$12),AG272,0)+IF(AND('Your debts'!$F$13&lt;&gt;"",'Your debts'!$F$12&lt;&gt;"",'Your debts'!$F$13&lt;'Your debts'!$F$12),AQ272,0)+IF(AND('Your debts'!$F$14&lt;&gt;"",'Your debts'!$F$12&lt;&gt;"",'Your debts'!$F$14&lt;'Your debts'!$F$12),AV272,0)+IF(AND('Your debts'!$F$15&lt;&gt;"",'Your debts'!$F$12&lt;&gt;"",'Your debts'!$F$15&lt;'Your debts'!$F$12),BA272,0)))))</f>
        <v/>
      </c>
      <c r="AN272" s="33">
        <f>AL272-AM272</f>
        <v/>
      </c>
      <c r="AO272" s="33">
        <f>IF(AS271&lt;=0,0,ROUND(AS271*(1+'Your debts'!$D$13/1200),2))</f>
        <v/>
      </c>
      <c r="AP272" s="33">
        <f>IF(AO272&lt;=0,0,MIN('Your debts'!$E$13,AO272))</f>
        <v/>
      </c>
      <c r="AQ272" s="33">
        <f>AO272-AP272</f>
        <v/>
      </c>
      <c r="AR272" s="33">
        <f>IF('Your debts'!$F$13="",0,MIN(AQ272,MAX(0,MAX(0,'Your debts'!$C$19-(G272+L272+Q272+V272+AA272+AF272+AK272+AP272+AU272+AZ272))-(IF(AND('Your debts'!$F$6&lt;&gt;"",'Your debts'!$F$13&lt;&gt;"",'Your debts'!$F$6&lt;'Your debts'!$F$13),H272,0)+IF(AND('Your debts'!$F$7&lt;&gt;"",'Your debts'!$F$13&lt;&gt;"",'Your debts'!$F$7&lt;'Your debts'!$F$13),M272,0)+IF(AND('Your debts'!$F$8&lt;&gt;"",'Your debts'!$F$13&lt;&gt;"",'Your debts'!$F$8&lt;'Your debts'!$F$13),R272,0)+IF(AND('Your debts'!$F$9&lt;&gt;"",'Your debts'!$F$13&lt;&gt;"",'Your debts'!$F$9&lt;'Your debts'!$F$13),W272,0)+IF(AND('Your debts'!$F$10&lt;&gt;"",'Your debts'!$F$13&lt;&gt;"",'Your debts'!$F$10&lt;'Your debts'!$F$13),AB272,0)+IF(AND('Your debts'!$F$11&lt;&gt;"",'Your debts'!$F$13&lt;&gt;"",'Your debts'!$F$11&lt;'Your debts'!$F$13),AG272,0)+IF(AND('Your debts'!$F$12&lt;&gt;"",'Your debts'!$F$13&lt;&gt;"",'Your debts'!$F$12&lt;'Your debts'!$F$13),AL272,0)+IF(AND('Your debts'!$F$14&lt;&gt;"",'Your debts'!$F$13&lt;&gt;"",'Your debts'!$F$14&lt;'Your debts'!$F$13),AV272,0)+IF(AND('Your debts'!$F$15&lt;&gt;"",'Your debts'!$F$13&lt;&gt;"",'Your debts'!$F$15&lt;'Your debts'!$F$13),BA272,0)))))</f>
        <v/>
      </c>
      <c r="AS272" s="33">
        <f>AQ272-AR272</f>
        <v/>
      </c>
      <c r="AT272" s="33">
        <f>IF(AX271&lt;=0,0,ROUND(AX271*(1+'Your debts'!$D$14/1200),2))</f>
        <v/>
      </c>
      <c r="AU272" s="33">
        <f>IF(AT272&lt;=0,0,MIN('Your debts'!$E$14,AT272))</f>
        <v/>
      </c>
      <c r="AV272" s="33">
        <f>AT272-AU272</f>
        <v/>
      </c>
      <c r="AW272" s="33">
        <f>IF('Your debts'!$F$14="",0,MIN(AV272,MAX(0,MAX(0,'Your debts'!$C$19-(G272+L272+Q272+V272+AA272+AF272+AK272+AP272+AU272+AZ272))-(IF(AND('Your debts'!$F$6&lt;&gt;"",'Your debts'!$F$14&lt;&gt;"",'Your debts'!$F$6&lt;'Your debts'!$F$14),H272,0)+IF(AND('Your debts'!$F$7&lt;&gt;"",'Your debts'!$F$14&lt;&gt;"",'Your debts'!$F$7&lt;'Your debts'!$F$14),M272,0)+IF(AND('Your debts'!$F$8&lt;&gt;"",'Your debts'!$F$14&lt;&gt;"",'Your debts'!$F$8&lt;'Your debts'!$F$14),R272,0)+IF(AND('Your debts'!$F$9&lt;&gt;"",'Your debts'!$F$14&lt;&gt;"",'Your debts'!$F$9&lt;'Your debts'!$F$14),W272,0)+IF(AND('Your debts'!$F$10&lt;&gt;"",'Your debts'!$F$14&lt;&gt;"",'Your debts'!$F$10&lt;'Your debts'!$F$14),AB272,0)+IF(AND('Your debts'!$F$11&lt;&gt;"",'Your debts'!$F$14&lt;&gt;"",'Your debts'!$F$11&lt;'Your debts'!$F$14),AG272,0)+IF(AND('Your debts'!$F$12&lt;&gt;"",'Your debts'!$F$14&lt;&gt;"",'Your debts'!$F$12&lt;'Your debts'!$F$14),AL272,0)+IF(AND('Your debts'!$F$13&lt;&gt;"",'Your debts'!$F$14&lt;&gt;"",'Your debts'!$F$13&lt;'Your debts'!$F$14),AQ272,0)+IF(AND('Your debts'!$F$15&lt;&gt;"",'Your debts'!$F$14&lt;&gt;"",'Your debts'!$F$15&lt;'Your debts'!$F$14),BA272,0)))))</f>
        <v/>
      </c>
      <c r="AX272" s="33">
        <f>AV272-AW272</f>
        <v/>
      </c>
      <c r="AY272" s="33">
        <f>IF(BC271&lt;=0,0,ROUND(BC271*(1+'Your debts'!$D$15/1200),2))</f>
        <v/>
      </c>
      <c r="AZ272" s="33">
        <f>IF(AY272&lt;=0,0,MIN('Your debts'!$E$15,AY272))</f>
        <v/>
      </c>
      <c r="BA272" s="33">
        <f>AY272-AZ272</f>
        <v/>
      </c>
      <c r="BB272" s="33">
        <f>IF('Your debts'!$F$15="",0,MIN(BA272,MAX(0,MAX(0,'Your debts'!$C$19-(G272+L272+Q272+V272+AA272+AF272+AK272+AP272+AU272+AZ272))-(IF(AND('Your debts'!$F$6&lt;&gt;"",'Your debts'!$F$15&lt;&gt;"",'Your debts'!$F$6&lt;'Your debts'!$F$15),H272,0)+IF(AND('Your debts'!$F$7&lt;&gt;"",'Your debts'!$F$15&lt;&gt;"",'Your debts'!$F$7&lt;'Your debts'!$F$15),M272,0)+IF(AND('Your debts'!$F$8&lt;&gt;"",'Your debts'!$F$15&lt;&gt;"",'Your debts'!$F$8&lt;'Your debts'!$F$15),R272,0)+IF(AND('Your debts'!$F$9&lt;&gt;"",'Your debts'!$F$15&lt;&gt;"",'Your debts'!$F$9&lt;'Your debts'!$F$15),W272,0)+IF(AND('Your debts'!$F$10&lt;&gt;"",'Your debts'!$F$15&lt;&gt;"",'Your debts'!$F$10&lt;'Your debts'!$F$15),AB272,0)+IF(AND('Your debts'!$F$11&lt;&gt;"",'Your debts'!$F$15&lt;&gt;"",'Your debts'!$F$11&lt;'Your debts'!$F$15),AG272,0)+IF(AND('Your debts'!$F$12&lt;&gt;"",'Your debts'!$F$15&lt;&gt;"",'Your debts'!$F$12&lt;'Your debts'!$F$15),AL272,0)+IF(AND('Your debts'!$F$13&lt;&gt;"",'Your debts'!$F$15&lt;&gt;"",'Your debts'!$F$13&lt;'Your debts'!$F$15),AQ272,0)+IF(AND('Your debts'!$F$14&lt;&gt;"",'Your debts'!$F$15&lt;&gt;"",'Your debts'!$F$14&lt;'Your debts'!$F$15),AV272,0)))))</f>
        <v/>
      </c>
      <c r="BC272" s="33">
        <f>BA272-BB272</f>
        <v/>
      </c>
    </row>
    <row r="273">
      <c r="A273" s="30" t="n">
        <v>258</v>
      </c>
      <c r="B273" s="31">
        <f>EDATE($B$15,258)</f>
        <v/>
      </c>
      <c r="C273" s="32">
        <f>IF(J272&lt;=0,0,F273-J272)+IF(O272&lt;=0,0,K273-O272)+IF(T272&lt;=0,0,P273-T272)+IF(Y272&lt;=0,0,U273-Y272)+IF(AD272&lt;=0,0,Z273-AD272)+IF(AI272&lt;=0,0,AE273-AI272)+IF(AN272&lt;=0,0,AJ273-AN272)+IF(AS272&lt;=0,0,AO273-AS272)+IF(AX272&lt;=0,0,AT273-AX272)+IF(BC272&lt;=0,0,AY273-BC272)</f>
        <v/>
      </c>
      <c r="D273" s="32">
        <f>G273+I273+L273+N273+Q273+S273+V273+X273+AA273+AC273+AF273+AH273+AK273+AM273+AP273+AR273+AU273+AW273+AZ273+BB273</f>
        <v/>
      </c>
      <c r="E273" s="32">
        <f>J273+O273+T273+Y273+AD273+AI273+AN273+AS273+AX273+BC273</f>
        <v/>
      </c>
      <c r="F273" s="33">
        <f>IF(J272&lt;=0,0,ROUND(J272*(1+'Your debts'!$D$6/1200),2))</f>
        <v/>
      </c>
      <c r="G273" s="33">
        <f>IF(F273&lt;=0,0,MIN('Your debts'!$E$6,F273))</f>
        <v/>
      </c>
      <c r="H273" s="33">
        <f>F273-G273</f>
        <v/>
      </c>
      <c r="I273" s="33">
        <f>IF('Your debts'!$F$6="",0,MIN(H273,MAX(0,MAX(0,'Your debts'!$C$19-(G273+L273+Q273+V273+AA273+AF273+AK273+AP273+AU273+AZ273))-(IF(AND('Your debts'!$F$7&lt;&gt;"",'Your debts'!$F$6&lt;&gt;"",'Your debts'!$F$7&lt;'Your debts'!$F$6),M273,0)+IF(AND('Your debts'!$F$8&lt;&gt;"",'Your debts'!$F$6&lt;&gt;"",'Your debts'!$F$8&lt;'Your debts'!$F$6),R273,0)+IF(AND('Your debts'!$F$9&lt;&gt;"",'Your debts'!$F$6&lt;&gt;"",'Your debts'!$F$9&lt;'Your debts'!$F$6),W273,0)+IF(AND('Your debts'!$F$10&lt;&gt;"",'Your debts'!$F$6&lt;&gt;"",'Your debts'!$F$10&lt;'Your debts'!$F$6),AB273,0)+IF(AND('Your debts'!$F$11&lt;&gt;"",'Your debts'!$F$6&lt;&gt;"",'Your debts'!$F$11&lt;'Your debts'!$F$6),AG273,0)+IF(AND('Your debts'!$F$12&lt;&gt;"",'Your debts'!$F$6&lt;&gt;"",'Your debts'!$F$12&lt;'Your debts'!$F$6),AL273,0)+IF(AND('Your debts'!$F$13&lt;&gt;"",'Your debts'!$F$6&lt;&gt;"",'Your debts'!$F$13&lt;'Your debts'!$F$6),AQ273,0)+IF(AND('Your debts'!$F$14&lt;&gt;"",'Your debts'!$F$6&lt;&gt;"",'Your debts'!$F$14&lt;'Your debts'!$F$6),AV273,0)+IF(AND('Your debts'!$F$15&lt;&gt;"",'Your debts'!$F$6&lt;&gt;"",'Your debts'!$F$15&lt;'Your debts'!$F$6),BA273,0)))))</f>
        <v/>
      </c>
      <c r="J273" s="33">
        <f>H273-I273</f>
        <v/>
      </c>
      <c r="K273" s="33">
        <f>IF(O272&lt;=0,0,ROUND(O272*(1+'Your debts'!$D$7/1200),2))</f>
        <v/>
      </c>
      <c r="L273" s="33">
        <f>IF(K273&lt;=0,0,MIN('Your debts'!$E$7,K273))</f>
        <v/>
      </c>
      <c r="M273" s="33">
        <f>K273-L273</f>
        <v/>
      </c>
      <c r="N273" s="33">
        <f>IF('Your debts'!$F$7="",0,MIN(M273,MAX(0,MAX(0,'Your debts'!$C$19-(G273+L273+Q273+V273+AA273+AF273+AK273+AP273+AU273+AZ273))-(IF(AND('Your debts'!$F$6&lt;&gt;"",'Your debts'!$F$7&lt;&gt;"",'Your debts'!$F$6&lt;'Your debts'!$F$7),H273,0)+IF(AND('Your debts'!$F$8&lt;&gt;"",'Your debts'!$F$7&lt;&gt;"",'Your debts'!$F$8&lt;'Your debts'!$F$7),R273,0)+IF(AND('Your debts'!$F$9&lt;&gt;"",'Your debts'!$F$7&lt;&gt;"",'Your debts'!$F$9&lt;'Your debts'!$F$7),W273,0)+IF(AND('Your debts'!$F$10&lt;&gt;"",'Your debts'!$F$7&lt;&gt;"",'Your debts'!$F$10&lt;'Your debts'!$F$7),AB273,0)+IF(AND('Your debts'!$F$11&lt;&gt;"",'Your debts'!$F$7&lt;&gt;"",'Your debts'!$F$11&lt;'Your debts'!$F$7),AG273,0)+IF(AND('Your debts'!$F$12&lt;&gt;"",'Your debts'!$F$7&lt;&gt;"",'Your debts'!$F$12&lt;'Your debts'!$F$7),AL273,0)+IF(AND('Your debts'!$F$13&lt;&gt;"",'Your debts'!$F$7&lt;&gt;"",'Your debts'!$F$13&lt;'Your debts'!$F$7),AQ273,0)+IF(AND('Your debts'!$F$14&lt;&gt;"",'Your debts'!$F$7&lt;&gt;"",'Your debts'!$F$14&lt;'Your debts'!$F$7),AV273,0)+IF(AND('Your debts'!$F$15&lt;&gt;"",'Your debts'!$F$7&lt;&gt;"",'Your debts'!$F$15&lt;'Your debts'!$F$7),BA273,0)))))</f>
        <v/>
      </c>
      <c r="O273" s="33">
        <f>M273-N273</f>
        <v/>
      </c>
      <c r="P273" s="33">
        <f>IF(T272&lt;=0,0,ROUND(T272*(1+'Your debts'!$D$8/1200),2))</f>
        <v/>
      </c>
      <c r="Q273" s="33">
        <f>IF(P273&lt;=0,0,MIN('Your debts'!$E$8,P273))</f>
        <v/>
      </c>
      <c r="R273" s="33">
        <f>P273-Q273</f>
        <v/>
      </c>
      <c r="S273" s="33">
        <f>IF('Your debts'!$F$8="",0,MIN(R273,MAX(0,MAX(0,'Your debts'!$C$19-(G273+L273+Q273+V273+AA273+AF273+AK273+AP273+AU273+AZ273))-(IF(AND('Your debts'!$F$6&lt;&gt;"",'Your debts'!$F$8&lt;&gt;"",'Your debts'!$F$6&lt;'Your debts'!$F$8),H273,0)+IF(AND('Your debts'!$F$7&lt;&gt;"",'Your debts'!$F$8&lt;&gt;"",'Your debts'!$F$7&lt;'Your debts'!$F$8),M273,0)+IF(AND('Your debts'!$F$9&lt;&gt;"",'Your debts'!$F$8&lt;&gt;"",'Your debts'!$F$9&lt;'Your debts'!$F$8),W273,0)+IF(AND('Your debts'!$F$10&lt;&gt;"",'Your debts'!$F$8&lt;&gt;"",'Your debts'!$F$10&lt;'Your debts'!$F$8),AB273,0)+IF(AND('Your debts'!$F$11&lt;&gt;"",'Your debts'!$F$8&lt;&gt;"",'Your debts'!$F$11&lt;'Your debts'!$F$8),AG273,0)+IF(AND('Your debts'!$F$12&lt;&gt;"",'Your debts'!$F$8&lt;&gt;"",'Your debts'!$F$12&lt;'Your debts'!$F$8),AL273,0)+IF(AND('Your debts'!$F$13&lt;&gt;"",'Your debts'!$F$8&lt;&gt;"",'Your debts'!$F$13&lt;'Your debts'!$F$8),AQ273,0)+IF(AND('Your debts'!$F$14&lt;&gt;"",'Your debts'!$F$8&lt;&gt;"",'Your debts'!$F$14&lt;'Your debts'!$F$8),AV273,0)+IF(AND('Your debts'!$F$15&lt;&gt;"",'Your debts'!$F$8&lt;&gt;"",'Your debts'!$F$15&lt;'Your debts'!$F$8),BA273,0)))))</f>
        <v/>
      </c>
      <c r="T273" s="33">
        <f>R273-S273</f>
        <v/>
      </c>
      <c r="U273" s="33">
        <f>IF(Y272&lt;=0,0,ROUND(Y272*(1+'Your debts'!$D$9/1200),2))</f>
        <v/>
      </c>
      <c r="V273" s="33">
        <f>IF(U273&lt;=0,0,MIN('Your debts'!$E$9,U273))</f>
        <v/>
      </c>
      <c r="W273" s="33">
        <f>U273-V273</f>
        <v/>
      </c>
      <c r="X273" s="33">
        <f>IF('Your debts'!$F$9="",0,MIN(W273,MAX(0,MAX(0,'Your debts'!$C$19-(G273+L273+Q273+V273+AA273+AF273+AK273+AP273+AU273+AZ273))-(IF(AND('Your debts'!$F$6&lt;&gt;"",'Your debts'!$F$9&lt;&gt;"",'Your debts'!$F$6&lt;'Your debts'!$F$9),H273,0)+IF(AND('Your debts'!$F$7&lt;&gt;"",'Your debts'!$F$9&lt;&gt;"",'Your debts'!$F$7&lt;'Your debts'!$F$9),M273,0)+IF(AND('Your debts'!$F$8&lt;&gt;"",'Your debts'!$F$9&lt;&gt;"",'Your debts'!$F$8&lt;'Your debts'!$F$9),R273,0)+IF(AND('Your debts'!$F$10&lt;&gt;"",'Your debts'!$F$9&lt;&gt;"",'Your debts'!$F$10&lt;'Your debts'!$F$9),AB273,0)+IF(AND('Your debts'!$F$11&lt;&gt;"",'Your debts'!$F$9&lt;&gt;"",'Your debts'!$F$11&lt;'Your debts'!$F$9),AG273,0)+IF(AND('Your debts'!$F$12&lt;&gt;"",'Your debts'!$F$9&lt;&gt;"",'Your debts'!$F$12&lt;'Your debts'!$F$9),AL273,0)+IF(AND('Your debts'!$F$13&lt;&gt;"",'Your debts'!$F$9&lt;&gt;"",'Your debts'!$F$13&lt;'Your debts'!$F$9),AQ273,0)+IF(AND('Your debts'!$F$14&lt;&gt;"",'Your debts'!$F$9&lt;&gt;"",'Your debts'!$F$14&lt;'Your debts'!$F$9),AV273,0)+IF(AND('Your debts'!$F$15&lt;&gt;"",'Your debts'!$F$9&lt;&gt;"",'Your debts'!$F$15&lt;'Your debts'!$F$9),BA273,0)))))</f>
        <v/>
      </c>
      <c r="Y273" s="33">
        <f>W273-X273</f>
        <v/>
      </c>
      <c r="Z273" s="33">
        <f>IF(AD272&lt;=0,0,ROUND(AD272*(1+'Your debts'!$D$10/1200),2))</f>
        <v/>
      </c>
      <c r="AA273" s="33">
        <f>IF(Z273&lt;=0,0,MIN('Your debts'!$E$10,Z273))</f>
        <v/>
      </c>
      <c r="AB273" s="33">
        <f>Z273-AA273</f>
        <v/>
      </c>
      <c r="AC273" s="33">
        <f>IF('Your debts'!$F$10="",0,MIN(AB273,MAX(0,MAX(0,'Your debts'!$C$19-(G273+L273+Q273+V273+AA273+AF273+AK273+AP273+AU273+AZ273))-(IF(AND('Your debts'!$F$6&lt;&gt;"",'Your debts'!$F$10&lt;&gt;"",'Your debts'!$F$6&lt;'Your debts'!$F$10),H273,0)+IF(AND('Your debts'!$F$7&lt;&gt;"",'Your debts'!$F$10&lt;&gt;"",'Your debts'!$F$7&lt;'Your debts'!$F$10),M273,0)+IF(AND('Your debts'!$F$8&lt;&gt;"",'Your debts'!$F$10&lt;&gt;"",'Your debts'!$F$8&lt;'Your debts'!$F$10),R273,0)+IF(AND('Your debts'!$F$9&lt;&gt;"",'Your debts'!$F$10&lt;&gt;"",'Your debts'!$F$9&lt;'Your debts'!$F$10),W273,0)+IF(AND('Your debts'!$F$11&lt;&gt;"",'Your debts'!$F$10&lt;&gt;"",'Your debts'!$F$11&lt;'Your debts'!$F$10),AG273,0)+IF(AND('Your debts'!$F$12&lt;&gt;"",'Your debts'!$F$10&lt;&gt;"",'Your debts'!$F$12&lt;'Your debts'!$F$10),AL273,0)+IF(AND('Your debts'!$F$13&lt;&gt;"",'Your debts'!$F$10&lt;&gt;"",'Your debts'!$F$13&lt;'Your debts'!$F$10),AQ273,0)+IF(AND('Your debts'!$F$14&lt;&gt;"",'Your debts'!$F$10&lt;&gt;"",'Your debts'!$F$14&lt;'Your debts'!$F$10),AV273,0)+IF(AND('Your debts'!$F$15&lt;&gt;"",'Your debts'!$F$10&lt;&gt;"",'Your debts'!$F$15&lt;'Your debts'!$F$10),BA273,0)))))</f>
        <v/>
      </c>
      <c r="AD273" s="33">
        <f>AB273-AC273</f>
        <v/>
      </c>
      <c r="AE273" s="33">
        <f>IF(AI272&lt;=0,0,ROUND(AI272*(1+'Your debts'!$D$11/1200),2))</f>
        <v/>
      </c>
      <c r="AF273" s="33">
        <f>IF(AE273&lt;=0,0,MIN('Your debts'!$E$11,AE273))</f>
        <v/>
      </c>
      <c r="AG273" s="33">
        <f>AE273-AF273</f>
        <v/>
      </c>
      <c r="AH273" s="33">
        <f>IF('Your debts'!$F$11="",0,MIN(AG273,MAX(0,MAX(0,'Your debts'!$C$19-(G273+L273+Q273+V273+AA273+AF273+AK273+AP273+AU273+AZ273))-(IF(AND('Your debts'!$F$6&lt;&gt;"",'Your debts'!$F$11&lt;&gt;"",'Your debts'!$F$6&lt;'Your debts'!$F$11),H273,0)+IF(AND('Your debts'!$F$7&lt;&gt;"",'Your debts'!$F$11&lt;&gt;"",'Your debts'!$F$7&lt;'Your debts'!$F$11),M273,0)+IF(AND('Your debts'!$F$8&lt;&gt;"",'Your debts'!$F$11&lt;&gt;"",'Your debts'!$F$8&lt;'Your debts'!$F$11),R273,0)+IF(AND('Your debts'!$F$9&lt;&gt;"",'Your debts'!$F$11&lt;&gt;"",'Your debts'!$F$9&lt;'Your debts'!$F$11),W273,0)+IF(AND('Your debts'!$F$10&lt;&gt;"",'Your debts'!$F$11&lt;&gt;"",'Your debts'!$F$10&lt;'Your debts'!$F$11),AB273,0)+IF(AND('Your debts'!$F$12&lt;&gt;"",'Your debts'!$F$11&lt;&gt;"",'Your debts'!$F$12&lt;'Your debts'!$F$11),AL273,0)+IF(AND('Your debts'!$F$13&lt;&gt;"",'Your debts'!$F$11&lt;&gt;"",'Your debts'!$F$13&lt;'Your debts'!$F$11),AQ273,0)+IF(AND('Your debts'!$F$14&lt;&gt;"",'Your debts'!$F$11&lt;&gt;"",'Your debts'!$F$14&lt;'Your debts'!$F$11),AV273,0)+IF(AND('Your debts'!$F$15&lt;&gt;"",'Your debts'!$F$11&lt;&gt;"",'Your debts'!$F$15&lt;'Your debts'!$F$11),BA273,0)))))</f>
        <v/>
      </c>
      <c r="AI273" s="33">
        <f>AG273-AH273</f>
        <v/>
      </c>
      <c r="AJ273" s="33">
        <f>IF(AN272&lt;=0,0,ROUND(AN272*(1+'Your debts'!$D$12/1200),2))</f>
        <v/>
      </c>
      <c r="AK273" s="33">
        <f>IF(AJ273&lt;=0,0,MIN('Your debts'!$E$12,AJ273))</f>
        <v/>
      </c>
      <c r="AL273" s="33">
        <f>AJ273-AK273</f>
        <v/>
      </c>
      <c r="AM273" s="33">
        <f>IF('Your debts'!$F$12="",0,MIN(AL273,MAX(0,MAX(0,'Your debts'!$C$19-(G273+L273+Q273+V273+AA273+AF273+AK273+AP273+AU273+AZ273))-(IF(AND('Your debts'!$F$6&lt;&gt;"",'Your debts'!$F$12&lt;&gt;"",'Your debts'!$F$6&lt;'Your debts'!$F$12),H273,0)+IF(AND('Your debts'!$F$7&lt;&gt;"",'Your debts'!$F$12&lt;&gt;"",'Your debts'!$F$7&lt;'Your debts'!$F$12),M273,0)+IF(AND('Your debts'!$F$8&lt;&gt;"",'Your debts'!$F$12&lt;&gt;"",'Your debts'!$F$8&lt;'Your debts'!$F$12),R273,0)+IF(AND('Your debts'!$F$9&lt;&gt;"",'Your debts'!$F$12&lt;&gt;"",'Your debts'!$F$9&lt;'Your debts'!$F$12),W273,0)+IF(AND('Your debts'!$F$10&lt;&gt;"",'Your debts'!$F$12&lt;&gt;"",'Your debts'!$F$10&lt;'Your debts'!$F$12),AB273,0)+IF(AND('Your debts'!$F$11&lt;&gt;"",'Your debts'!$F$12&lt;&gt;"",'Your debts'!$F$11&lt;'Your debts'!$F$12),AG273,0)+IF(AND('Your debts'!$F$13&lt;&gt;"",'Your debts'!$F$12&lt;&gt;"",'Your debts'!$F$13&lt;'Your debts'!$F$12),AQ273,0)+IF(AND('Your debts'!$F$14&lt;&gt;"",'Your debts'!$F$12&lt;&gt;"",'Your debts'!$F$14&lt;'Your debts'!$F$12),AV273,0)+IF(AND('Your debts'!$F$15&lt;&gt;"",'Your debts'!$F$12&lt;&gt;"",'Your debts'!$F$15&lt;'Your debts'!$F$12),BA273,0)))))</f>
        <v/>
      </c>
      <c r="AN273" s="33">
        <f>AL273-AM273</f>
        <v/>
      </c>
      <c r="AO273" s="33">
        <f>IF(AS272&lt;=0,0,ROUND(AS272*(1+'Your debts'!$D$13/1200),2))</f>
        <v/>
      </c>
      <c r="AP273" s="33">
        <f>IF(AO273&lt;=0,0,MIN('Your debts'!$E$13,AO273))</f>
        <v/>
      </c>
      <c r="AQ273" s="33">
        <f>AO273-AP273</f>
        <v/>
      </c>
      <c r="AR273" s="33">
        <f>IF('Your debts'!$F$13="",0,MIN(AQ273,MAX(0,MAX(0,'Your debts'!$C$19-(G273+L273+Q273+V273+AA273+AF273+AK273+AP273+AU273+AZ273))-(IF(AND('Your debts'!$F$6&lt;&gt;"",'Your debts'!$F$13&lt;&gt;"",'Your debts'!$F$6&lt;'Your debts'!$F$13),H273,0)+IF(AND('Your debts'!$F$7&lt;&gt;"",'Your debts'!$F$13&lt;&gt;"",'Your debts'!$F$7&lt;'Your debts'!$F$13),M273,0)+IF(AND('Your debts'!$F$8&lt;&gt;"",'Your debts'!$F$13&lt;&gt;"",'Your debts'!$F$8&lt;'Your debts'!$F$13),R273,0)+IF(AND('Your debts'!$F$9&lt;&gt;"",'Your debts'!$F$13&lt;&gt;"",'Your debts'!$F$9&lt;'Your debts'!$F$13),W273,0)+IF(AND('Your debts'!$F$10&lt;&gt;"",'Your debts'!$F$13&lt;&gt;"",'Your debts'!$F$10&lt;'Your debts'!$F$13),AB273,0)+IF(AND('Your debts'!$F$11&lt;&gt;"",'Your debts'!$F$13&lt;&gt;"",'Your debts'!$F$11&lt;'Your debts'!$F$13),AG273,0)+IF(AND('Your debts'!$F$12&lt;&gt;"",'Your debts'!$F$13&lt;&gt;"",'Your debts'!$F$12&lt;'Your debts'!$F$13),AL273,0)+IF(AND('Your debts'!$F$14&lt;&gt;"",'Your debts'!$F$13&lt;&gt;"",'Your debts'!$F$14&lt;'Your debts'!$F$13),AV273,0)+IF(AND('Your debts'!$F$15&lt;&gt;"",'Your debts'!$F$13&lt;&gt;"",'Your debts'!$F$15&lt;'Your debts'!$F$13),BA273,0)))))</f>
        <v/>
      </c>
      <c r="AS273" s="33">
        <f>AQ273-AR273</f>
        <v/>
      </c>
      <c r="AT273" s="33">
        <f>IF(AX272&lt;=0,0,ROUND(AX272*(1+'Your debts'!$D$14/1200),2))</f>
        <v/>
      </c>
      <c r="AU273" s="33">
        <f>IF(AT273&lt;=0,0,MIN('Your debts'!$E$14,AT273))</f>
        <v/>
      </c>
      <c r="AV273" s="33">
        <f>AT273-AU273</f>
        <v/>
      </c>
      <c r="AW273" s="33">
        <f>IF('Your debts'!$F$14="",0,MIN(AV273,MAX(0,MAX(0,'Your debts'!$C$19-(G273+L273+Q273+V273+AA273+AF273+AK273+AP273+AU273+AZ273))-(IF(AND('Your debts'!$F$6&lt;&gt;"",'Your debts'!$F$14&lt;&gt;"",'Your debts'!$F$6&lt;'Your debts'!$F$14),H273,0)+IF(AND('Your debts'!$F$7&lt;&gt;"",'Your debts'!$F$14&lt;&gt;"",'Your debts'!$F$7&lt;'Your debts'!$F$14),M273,0)+IF(AND('Your debts'!$F$8&lt;&gt;"",'Your debts'!$F$14&lt;&gt;"",'Your debts'!$F$8&lt;'Your debts'!$F$14),R273,0)+IF(AND('Your debts'!$F$9&lt;&gt;"",'Your debts'!$F$14&lt;&gt;"",'Your debts'!$F$9&lt;'Your debts'!$F$14),W273,0)+IF(AND('Your debts'!$F$10&lt;&gt;"",'Your debts'!$F$14&lt;&gt;"",'Your debts'!$F$10&lt;'Your debts'!$F$14),AB273,0)+IF(AND('Your debts'!$F$11&lt;&gt;"",'Your debts'!$F$14&lt;&gt;"",'Your debts'!$F$11&lt;'Your debts'!$F$14),AG273,0)+IF(AND('Your debts'!$F$12&lt;&gt;"",'Your debts'!$F$14&lt;&gt;"",'Your debts'!$F$12&lt;'Your debts'!$F$14),AL273,0)+IF(AND('Your debts'!$F$13&lt;&gt;"",'Your debts'!$F$14&lt;&gt;"",'Your debts'!$F$13&lt;'Your debts'!$F$14),AQ273,0)+IF(AND('Your debts'!$F$15&lt;&gt;"",'Your debts'!$F$14&lt;&gt;"",'Your debts'!$F$15&lt;'Your debts'!$F$14),BA273,0)))))</f>
        <v/>
      </c>
      <c r="AX273" s="33">
        <f>AV273-AW273</f>
        <v/>
      </c>
      <c r="AY273" s="33">
        <f>IF(BC272&lt;=0,0,ROUND(BC272*(1+'Your debts'!$D$15/1200),2))</f>
        <v/>
      </c>
      <c r="AZ273" s="33">
        <f>IF(AY273&lt;=0,0,MIN('Your debts'!$E$15,AY273))</f>
        <v/>
      </c>
      <c r="BA273" s="33">
        <f>AY273-AZ273</f>
        <v/>
      </c>
      <c r="BB273" s="33">
        <f>IF('Your debts'!$F$15="",0,MIN(BA273,MAX(0,MAX(0,'Your debts'!$C$19-(G273+L273+Q273+V273+AA273+AF273+AK273+AP273+AU273+AZ273))-(IF(AND('Your debts'!$F$6&lt;&gt;"",'Your debts'!$F$15&lt;&gt;"",'Your debts'!$F$6&lt;'Your debts'!$F$15),H273,0)+IF(AND('Your debts'!$F$7&lt;&gt;"",'Your debts'!$F$15&lt;&gt;"",'Your debts'!$F$7&lt;'Your debts'!$F$15),M273,0)+IF(AND('Your debts'!$F$8&lt;&gt;"",'Your debts'!$F$15&lt;&gt;"",'Your debts'!$F$8&lt;'Your debts'!$F$15),R273,0)+IF(AND('Your debts'!$F$9&lt;&gt;"",'Your debts'!$F$15&lt;&gt;"",'Your debts'!$F$9&lt;'Your debts'!$F$15),W273,0)+IF(AND('Your debts'!$F$10&lt;&gt;"",'Your debts'!$F$15&lt;&gt;"",'Your debts'!$F$10&lt;'Your debts'!$F$15),AB273,0)+IF(AND('Your debts'!$F$11&lt;&gt;"",'Your debts'!$F$15&lt;&gt;"",'Your debts'!$F$11&lt;'Your debts'!$F$15),AG273,0)+IF(AND('Your debts'!$F$12&lt;&gt;"",'Your debts'!$F$15&lt;&gt;"",'Your debts'!$F$12&lt;'Your debts'!$F$15),AL273,0)+IF(AND('Your debts'!$F$13&lt;&gt;"",'Your debts'!$F$15&lt;&gt;"",'Your debts'!$F$13&lt;'Your debts'!$F$15),AQ273,0)+IF(AND('Your debts'!$F$14&lt;&gt;"",'Your debts'!$F$15&lt;&gt;"",'Your debts'!$F$14&lt;'Your debts'!$F$15),AV273,0)))))</f>
        <v/>
      </c>
      <c r="BC273" s="33">
        <f>BA273-BB273</f>
        <v/>
      </c>
    </row>
    <row r="274">
      <c r="A274" s="30" t="n">
        <v>259</v>
      </c>
      <c r="B274" s="31">
        <f>EDATE($B$15,259)</f>
        <v/>
      </c>
      <c r="C274" s="32">
        <f>IF(J273&lt;=0,0,F274-J273)+IF(O273&lt;=0,0,K274-O273)+IF(T273&lt;=0,0,P274-T273)+IF(Y273&lt;=0,0,U274-Y273)+IF(AD273&lt;=0,0,Z274-AD273)+IF(AI273&lt;=0,0,AE274-AI273)+IF(AN273&lt;=0,0,AJ274-AN273)+IF(AS273&lt;=0,0,AO274-AS273)+IF(AX273&lt;=0,0,AT274-AX273)+IF(BC273&lt;=0,0,AY274-BC273)</f>
        <v/>
      </c>
      <c r="D274" s="32">
        <f>G274+I274+L274+N274+Q274+S274+V274+X274+AA274+AC274+AF274+AH274+AK274+AM274+AP274+AR274+AU274+AW274+AZ274+BB274</f>
        <v/>
      </c>
      <c r="E274" s="32">
        <f>J274+O274+T274+Y274+AD274+AI274+AN274+AS274+AX274+BC274</f>
        <v/>
      </c>
      <c r="F274" s="33">
        <f>IF(J273&lt;=0,0,ROUND(J273*(1+'Your debts'!$D$6/1200),2))</f>
        <v/>
      </c>
      <c r="G274" s="33">
        <f>IF(F274&lt;=0,0,MIN('Your debts'!$E$6,F274))</f>
        <v/>
      </c>
      <c r="H274" s="33">
        <f>F274-G274</f>
        <v/>
      </c>
      <c r="I274" s="33">
        <f>IF('Your debts'!$F$6="",0,MIN(H274,MAX(0,MAX(0,'Your debts'!$C$19-(G274+L274+Q274+V274+AA274+AF274+AK274+AP274+AU274+AZ274))-(IF(AND('Your debts'!$F$7&lt;&gt;"",'Your debts'!$F$6&lt;&gt;"",'Your debts'!$F$7&lt;'Your debts'!$F$6),M274,0)+IF(AND('Your debts'!$F$8&lt;&gt;"",'Your debts'!$F$6&lt;&gt;"",'Your debts'!$F$8&lt;'Your debts'!$F$6),R274,0)+IF(AND('Your debts'!$F$9&lt;&gt;"",'Your debts'!$F$6&lt;&gt;"",'Your debts'!$F$9&lt;'Your debts'!$F$6),W274,0)+IF(AND('Your debts'!$F$10&lt;&gt;"",'Your debts'!$F$6&lt;&gt;"",'Your debts'!$F$10&lt;'Your debts'!$F$6),AB274,0)+IF(AND('Your debts'!$F$11&lt;&gt;"",'Your debts'!$F$6&lt;&gt;"",'Your debts'!$F$11&lt;'Your debts'!$F$6),AG274,0)+IF(AND('Your debts'!$F$12&lt;&gt;"",'Your debts'!$F$6&lt;&gt;"",'Your debts'!$F$12&lt;'Your debts'!$F$6),AL274,0)+IF(AND('Your debts'!$F$13&lt;&gt;"",'Your debts'!$F$6&lt;&gt;"",'Your debts'!$F$13&lt;'Your debts'!$F$6),AQ274,0)+IF(AND('Your debts'!$F$14&lt;&gt;"",'Your debts'!$F$6&lt;&gt;"",'Your debts'!$F$14&lt;'Your debts'!$F$6),AV274,0)+IF(AND('Your debts'!$F$15&lt;&gt;"",'Your debts'!$F$6&lt;&gt;"",'Your debts'!$F$15&lt;'Your debts'!$F$6),BA274,0)))))</f>
        <v/>
      </c>
      <c r="J274" s="33">
        <f>H274-I274</f>
        <v/>
      </c>
      <c r="K274" s="33">
        <f>IF(O273&lt;=0,0,ROUND(O273*(1+'Your debts'!$D$7/1200),2))</f>
        <v/>
      </c>
      <c r="L274" s="33">
        <f>IF(K274&lt;=0,0,MIN('Your debts'!$E$7,K274))</f>
        <v/>
      </c>
      <c r="M274" s="33">
        <f>K274-L274</f>
        <v/>
      </c>
      <c r="N274" s="33">
        <f>IF('Your debts'!$F$7="",0,MIN(M274,MAX(0,MAX(0,'Your debts'!$C$19-(G274+L274+Q274+V274+AA274+AF274+AK274+AP274+AU274+AZ274))-(IF(AND('Your debts'!$F$6&lt;&gt;"",'Your debts'!$F$7&lt;&gt;"",'Your debts'!$F$6&lt;'Your debts'!$F$7),H274,0)+IF(AND('Your debts'!$F$8&lt;&gt;"",'Your debts'!$F$7&lt;&gt;"",'Your debts'!$F$8&lt;'Your debts'!$F$7),R274,0)+IF(AND('Your debts'!$F$9&lt;&gt;"",'Your debts'!$F$7&lt;&gt;"",'Your debts'!$F$9&lt;'Your debts'!$F$7),W274,0)+IF(AND('Your debts'!$F$10&lt;&gt;"",'Your debts'!$F$7&lt;&gt;"",'Your debts'!$F$10&lt;'Your debts'!$F$7),AB274,0)+IF(AND('Your debts'!$F$11&lt;&gt;"",'Your debts'!$F$7&lt;&gt;"",'Your debts'!$F$11&lt;'Your debts'!$F$7),AG274,0)+IF(AND('Your debts'!$F$12&lt;&gt;"",'Your debts'!$F$7&lt;&gt;"",'Your debts'!$F$12&lt;'Your debts'!$F$7),AL274,0)+IF(AND('Your debts'!$F$13&lt;&gt;"",'Your debts'!$F$7&lt;&gt;"",'Your debts'!$F$13&lt;'Your debts'!$F$7),AQ274,0)+IF(AND('Your debts'!$F$14&lt;&gt;"",'Your debts'!$F$7&lt;&gt;"",'Your debts'!$F$14&lt;'Your debts'!$F$7),AV274,0)+IF(AND('Your debts'!$F$15&lt;&gt;"",'Your debts'!$F$7&lt;&gt;"",'Your debts'!$F$15&lt;'Your debts'!$F$7),BA274,0)))))</f>
        <v/>
      </c>
      <c r="O274" s="33">
        <f>M274-N274</f>
        <v/>
      </c>
      <c r="P274" s="33">
        <f>IF(T273&lt;=0,0,ROUND(T273*(1+'Your debts'!$D$8/1200),2))</f>
        <v/>
      </c>
      <c r="Q274" s="33">
        <f>IF(P274&lt;=0,0,MIN('Your debts'!$E$8,P274))</f>
        <v/>
      </c>
      <c r="R274" s="33">
        <f>P274-Q274</f>
        <v/>
      </c>
      <c r="S274" s="33">
        <f>IF('Your debts'!$F$8="",0,MIN(R274,MAX(0,MAX(0,'Your debts'!$C$19-(G274+L274+Q274+V274+AA274+AF274+AK274+AP274+AU274+AZ274))-(IF(AND('Your debts'!$F$6&lt;&gt;"",'Your debts'!$F$8&lt;&gt;"",'Your debts'!$F$6&lt;'Your debts'!$F$8),H274,0)+IF(AND('Your debts'!$F$7&lt;&gt;"",'Your debts'!$F$8&lt;&gt;"",'Your debts'!$F$7&lt;'Your debts'!$F$8),M274,0)+IF(AND('Your debts'!$F$9&lt;&gt;"",'Your debts'!$F$8&lt;&gt;"",'Your debts'!$F$9&lt;'Your debts'!$F$8),W274,0)+IF(AND('Your debts'!$F$10&lt;&gt;"",'Your debts'!$F$8&lt;&gt;"",'Your debts'!$F$10&lt;'Your debts'!$F$8),AB274,0)+IF(AND('Your debts'!$F$11&lt;&gt;"",'Your debts'!$F$8&lt;&gt;"",'Your debts'!$F$11&lt;'Your debts'!$F$8),AG274,0)+IF(AND('Your debts'!$F$12&lt;&gt;"",'Your debts'!$F$8&lt;&gt;"",'Your debts'!$F$12&lt;'Your debts'!$F$8),AL274,0)+IF(AND('Your debts'!$F$13&lt;&gt;"",'Your debts'!$F$8&lt;&gt;"",'Your debts'!$F$13&lt;'Your debts'!$F$8),AQ274,0)+IF(AND('Your debts'!$F$14&lt;&gt;"",'Your debts'!$F$8&lt;&gt;"",'Your debts'!$F$14&lt;'Your debts'!$F$8),AV274,0)+IF(AND('Your debts'!$F$15&lt;&gt;"",'Your debts'!$F$8&lt;&gt;"",'Your debts'!$F$15&lt;'Your debts'!$F$8),BA274,0)))))</f>
        <v/>
      </c>
      <c r="T274" s="33">
        <f>R274-S274</f>
        <v/>
      </c>
      <c r="U274" s="33">
        <f>IF(Y273&lt;=0,0,ROUND(Y273*(1+'Your debts'!$D$9/1200),2))</f>
        <v/>
      </c>
      <c r="V274" s="33">
        <f>IF(U274&lt;=0,0,MIN('Your debts'!$E$9,U274))</f>
        <v/>
      </c>
      <c r="W274" s="33">
        <f>U274-V274</f>
        <v/>
      </c>
      <c r="X274" s="33">
        <f>IF('Your debts'!$F$9="",0,MIN(W274,MAX(0,MAX(0,'Your debts'!$C$19-(G274+L274+Q274+V274+AA274+AF274+AK274+AP274+AU274+AZ274))-(IF(AND('Your debts'!$F$6&lt;&gt;"",'Your debts'!$F$9&lt;&gt;"",'Your debts'!$F$6&lt;'Your debts'!$F$9),H274,0)+IF(AND('Your debts'!$F$7&lt;&gt;"",'Your debts'!$F$9&lt;&gt;"",'Your debts'!$F$7&lt;'Your debts'!$F$9),M274,0)+IF(AND('Your debts'!$F$8&lt;&gt;"",'Your debts'!$F$9&lt;&gt;"",'Your debts'!$F$8&lt;'Your debts'!$F$9),R274,0)+IF(AND('Your debts'!$F$10&lt;&gt;"",'Your debts'!$F$9&lt;&gt;"",'Your debts'!$F$10&lt;'Your debts'!$F$9),AB274,0)+IF(AND('Your debts'!$F$11&lt;&gt;"",'Your debts'!$F$9&lt;&gt;"",'Your debts'!$F$11&lt;'Your debts'!$F$9),AG274,0)+IF(AND('Your debts'!$F$12&lt;&gt;"",'Your debts'!$F$9&lt;&gt;"",'Your debts'!$F$12&lt;'Your debts'!$F$9),AL274,0)+IF(AND('Your debts'!$F$13&lt;&gt;"",'Your debts'!$F$9&lt;&gt;"",'Your debts'!$F$13&lt;'Your debts'!$F$9),AQ274,0)+IF(AND('Your debts'!$F$14&lt;&gt;"",'Your debts'!$F$9&lt;&gt;"",'Your debts'!$F$14&lt;'Your debts'!$F$9),AV274,0)+IF(AND('Your debts'!$F$15&lt;&gt;"",'Your debts'!$F$9&lt;&gt;"",'Your debts'!$F$15&lt;'Your debts'!$F$9),BA274,0)))))</f>
        <v/>
      </c>
      <c r="Y274" s="33">
        <f>W274-X274</f>
        <v/>
      </c>
      <c r="Z274" s="33">
        <f>IF(AD273&lt;=0,0,ROUND(AD273*(1+'Your debts'!$D$10/1200),2))</f>
        <v/>
      </c>
      <c r="AA274" s="33">
        <f>IF(Z274&lt;=0,0,MIN('Your debts'!$E$10,Z274))</f>
        <v/>
      </c>
      <c r="AB274" s="33">
        <f>Z274-AA274</f>
        <v/>
      </c>
      <c r="AC274" s="33">
        <f>IF('Your debts'!$F$10="",0,MIN(AB274,MAX(0,MAX(0,'Your debts'!$C$19-(G274+L274+Q274+V274+AA274+AF274+AK274+AP274+AU274+AZ274))-(IF(AND('Your debts'!$F$6&lt;&gt;"",'Your debts'!$F$10&lt;&gt;"",'Your debts'!$F$6&lt;'Your debts'!$F$10),H274,0)+IF(AND('Your debts'!$F$7&lt;&gt;"",'Your debts'!$F$10&lt;&gt;"",'Your debts'!$F$7&lt;'Your debts'!$F$10),M274,0)+IF(AND('Your debts'!$F$8&lt;&gt;"",'Your debts'!$F$10&lt;&gt;"",'Your debts'!$F$8&lt;'Your debts'!$F$10),R274,0)+IF(AND('Your debts'!$F$9&lt;&gt;"",'Your debts'!$F$10&lt;&gt;"",'Your debts'!$F$9&lt;'Your debts'!$F$10),W274,0)+IF(AND('Your debts'!$F$11&lt;&gt;"",'Your debts'!$F$10&lt;&gt;"",'Your debts'!$F$11&lt;'Your debts'!$F$10),AG274,0)+IF(AND('Your debts'!$F$12&lt;&gt;"",'Your debts'!$F$10&lt;&gt;"",'Your debts'!$F$12&lt;'Your debts'!$F$10),AL274,0)+IF(AND('Your debts'!$F$13&lt;&gt;"",'Your debts'!$F$10&lt;&gt;"",'Your debts'!$F$13&lt;'Your debts'!$F$10),AQ274,0)+IF(AND('Your debts'!$F$14&lt;&gt;"",'Your debts'!$F$10&lt;&gt;"",'Your debts'!$F$14&lt;'Your debts'!$F$10),AV274,0)+IF(AND('Your debts'!$F$15&lt;&gt;"",'Your debts'!$F$10&lt;&gt;"",'Your debts'!$F$15&lt;'Your debts'!$F$10),BA274,0)))))</f>
        <v/>
      </c>
      <c r="AD274" s="33">
        <f>AB274-AC274</f>
        <v/>
      </c>
      <c r="AE274" s="33">
        <f>IF(AI273&lt;=0,0,ROUND(AI273*(1+'Your debts'!$D$11/1200),2))</f>
        <v/>
      </c>
      <c r="AF274" s="33">
        <f>IF(AE274&lt;=0,0,MIN('Your debts'!$E$11,AE274))</f>
        <v/>
      </c>
      <c r="AG274" s="33">
        <f>AE274-AF274</f>
        <v/>
      </c>
      <c r="AH274" s="33">
        <f>IF('Your debts'!$F$11="",0,MIN(AG274,MAX(0,MAX(0,'Your debts'!$C$19-(G274+L274+Q274+V274+AA274+AF274+AK274+AP274+AU274+AZ274))-(IF(AND('Your debts'!$F$6&lt;&gt;"",'Your debts'!$F$11&lt;&gt;"",'Your debts'!$F$6&lt;'Your debts'!$F$11),H274,0)+IF(AND('Your debts'!$F$7&lt;&gt;"",'Your debts'!$F$11&lt;&gt;"",'Your debts'!$F$7&lt;'Your debts'!$F$11),M274,0)+IF(AND('Your debts'!$F$8&lt;&gt;"",'Your debts'!$F$11&lt;&gt;"",'Your debts'!$F$8&lt;'Your debts'!$F$11),R274,0)+IF(AND('Your debts'!$F$9&lt;&gt;"",'Your debts'!$F$11&lt;&gt;"",'Your debts'!$F$9&lt;'Your debts'!$F$11),W274,0)+IF(AND('Your debts'!$F$10&lt;&gt;"",'Your debts'!$F$11&lt;&gt;"",'Your debts'!$F$10&lt;'Your debts'!$F$11),AB274,0)+IF(AND('Your debts'!$F$12&lt;&gt;"",'Your debts'!$F$11&lt;&gt;"",'Your debts'!$F$12&lt;'Your debts'!$F$11),AL274,0)+IF(AND('Your debts'!$F$13&lt;&gt;"",'Your debts'!$F$11&lt;&gt;"",'Your debts'!$F$13&lt;'Your debts'!$F$11),AQ274,0)+IF(AND('Your debts'!$F$14&lt;&gt;"",'Your debts'!$F$11&lt;&gt;"",'Your debts'!$F$14&lt;'Your debts'!$F$11),AV274,0)+IF(AND('Your debts'!$F$15&lt;&gt;"",'Your debts'!$F$11&lt;&gt;"",'Your debts'!$F$15&lt;'Your debts'!$F$11),BA274,0)))))</f>
        <v/>
      </c>
      <c r="AI274" s="33">
        <f>AG274-AH274</f>
        <v/>
      </c>
      <c r="AJ274" s="33">
        <f>IF(AN273&lt;=0,0,ROUND(AN273*(1+'Your debts'!$D$12/1200),2))</f>
        <v/>
      </c>
      <c r="AK274" s="33">
        <f>IF(AJ274&lt;=0,0,MIN('Your debts'!$E$12,AJ274))</f>
        <v/>
      </c>
      <c r="AL274" s="33">
        <f>AJ274-AK274</f>
        <v/>
      </c>
      <c r="AM274" s="33">
        <f>IF('Your debts'!$F$12="",0,MIN(AL274,MAX(0,MAX(0,'Your debts'!$C$19-(G274+L274+Q274+V274+AA274+AF274+AK274+AP274+AU274+AZ274))-(IF(AND('Your debts'!$F$6&lt;&gt;"",'Your debts'!$F$12&lt;&gt;"",'Your debts'!$F$6&lt;'Your debts'!$F$12),H274,0)+IF(AND('Your debts'!$F$7&lt;&gt;"",'Your debts'!$F$12&lt;&gt;"",'Your debts'!$F$7&lt;'Your debts'!$F$12),M274,0)+IF(AND('Your debts'!$F$8&lt;&gt;"",'Your debts'!$F$12&lt;&gt;"",'Your debts'!$F$8&lt;'Your debts'!$F$12),R274,0)+IF(AND('Your debts'!$F$9&lt;&gt;"",'Your debts'!$F$12&lt;&gt;"",'Your debts'!$F$9&lt;'Your debts'!$F$12),W274,0)+IF(AND('Your debts'!$F$10&lt;&gt;"",'Your debts'!$F$12&lt;&gt;"",'Your debts'!$F$10&lt;'Your debts'!$F$12),AB274,0)+IF(AND('Your debts'!$F$11&lt;&gt;"",'Your debts'!$F$12&lt;&gt;"",'Your debts'!$F$11&lt;'Your debts'!$F$12),AG274,0)+IF(AND('Your debts'!$F$13&lt;&gt;"",'Your debts'!$F$12&lt;&gt;"",'Your debts'!$F$13&lt;'Your debts'!$F$12),AQ274,0)+IF(AND('Your debts'!$F$14&lt;&gt;"",'Your debts'!$F$12&lt;&gt;"",'Your debts'!$F$14&lt;'Your debts'!$F$12),AV274,0)+IF(AND('Your debts'!$F$15&lt;&gt;"",'Your debts'!$F$12&lt;&gt;"",'Your debts'!$F$15&lt;'Your debts'!$F$12),BA274,0)))))</f>
        <v/>
      </c>
      <c r="AN274" s="33">
        <f>AL274-AM274</f>
        <v/>
      </c>
      <c r="AO274" s="33">
        <f>IF(AS273&lt;=0,0,ROUND(AS273*(1+'Your debts'!$D$13/1200),2))</f>
        <v/>
      </c>
      <c r="AP274" s="33">
        <f>IF(AO274&lt;=0,0,MIN('Your debts'!$E$13,AO274))</f>
        <v/>
      </c>
      <c r="AQ274" s="33">
        <f>AO274-AP274</f>
        <v/>
      </c>
      <c r="AR274" s="33">
        <f>IF('Your debts'!$F$13="",0,MIN(AQ274,MAX(0,MAX(0,'Your debts'!$C$19-(G274+L274+Q274+V274+AA274+AF274+AK274+AP274+AU274+AZ274))-(IF(AND('Your debts'!$F$6&lt;&gt;"",'Your debts'!$F$13&lt;&gt;"",'Your debts'!$F$6&lt;'Your debts'!$F$13),H274,0)+IF(AND('Your debts'!$F$7&lt;&gt;"",'Your debts'!$F$13&lt;&gt;"",'Your debts'!$F$7&lt;'Your debts'!$F$13),M274,0)+IF(AND('Your debts'!$F$8&lt;&gt;"",'Your debts'!$F$13&lt;&gt;"",'Your debts'!$F$8&lt;'Your debts'!$F$13),R274,0)+IF(AND('Your debts'!$F$9&lt;&gt;"",'Your debts'!$F$13&lt;&gt;"",'Your debts'!$F$9&lt;'Your debts'!$F$13),W274,0)+IF(AND('Your debts'!$F$10&lt;&gt;"",'Your debts'!$F$13&lt;&gt;"",'Your debts'!$F$10&lt;'Your debts'!$F$13),AB274,0)+IF(AND('Your debts'!$F$11&lt;&gt;"",'Your debts'!$F$13&lt;&gt;"",'Your debts'!$F$11&lt;'Your debts'!$F$13),AG274,0)+IF(AND('Your debts'!$F$12&lt;&gt;"",'Your debts'!$F$13&lt;&gt;"",'Your debts'!$F$12&lt;'Your debts'!$F$13),AL274,0)+IF(AND('Your debts'!$F$14&lt;&gt;"",'Your debts'!$F$13&lt;&gt;"",'Your debts'!$F$14&lt;'Your debts'!$F$13),AV274,0)+IF(AND('Your debts'!$F$15&lt;&gt;"",'Your debts'!$F$13&lt;&gt;"",'Your debts'!$F$15&lt;'Your debts'!$F$13),BA274,0)))))</f>
        <v/>
      </c>
      <c r="AS274" s="33">
        <f>AQ274-AR274</f>
        <v/>
      </c>
      <c r="AT274" s="33">
        <f>IF(AX273&lt;=0,0,ROUND(AX273*(1+'Your debts'!$D$14/1200),2))</f>
        <v/>
      </c>
      <c r="AU274" s="33">
        <f>IF(AT274&lt;=0,0,MIN('Your debts'!$E$14,AT274))</f>
        <v/>
      </c>
      <c r="AV274" s="33">
        <f>AT274-AU274</f>
        <v/>
      </c>
      <c r="AW274" s="33">
        <f>IF('Your debts'!$F$14="",0,MIN(AV274,MAX(0,MAX(0,'Your debts'!$C$19-(G274+L274+Q274+V274+AA274+AF274+AK274+AP274+AU274+AZ274))-(IF(AND('Your debts'!$F$6&lt;&gt;"",'Your debts'!$F$14&lt;&gt;"",'Your debts'!$F$6&lt;'Your debts'!$F$14),H274,0)+IF(AND('Your debts'!$F$7&lt;&gt;"",'Your debts'!$F$14&lt;&gt;"",'Your debts'!$F$7&lt;'Your debts'!$F$14),M274,0)+IF(AND('Your debts'!$F$8&lt;&gt;"",'Your debts'!$F$14&lt;&gt;"",'Your debts'!$F$8&lt;'Your debts'!$F$14),R274,0)+IF(AND('Your debts'!$F$9&lt;&gt;"",'Your debts'!$F$14&lt;&gt;"",'Your debts'!$F$9&lt;'Your debts'!$F$14),W274,0)+IF(AND('Your debts'!$F$10&lt;&gt;"",'Your debts'!$F$14&lt;&gt;"",'Your debts'!$F$10&lt;'Your debts'!$F$14),AB274,0)+IF(AND('Your debts'!$F$11&lt;&gt;"",'Your debts'!$F$14&lt;&gt;"",'Your debts'!$F$11&lt;'Your debts'!$F$14),AG274,0)+IF(AND('Your debts'!$F$12&lt;&gt;"",'Your debts'!$F$14&lt;&gt;"",'Your debts'!$F$12&lt;'Your debts'!$F$14),AL274,0)+IF(AND('Your debts'!$F$13&lt;&gt;"",'Your debts'!$F$14&lt;&gt;"",'Your debts'!$F$13&lt;'Your debts'!$F$14),AQ274,0)+IF(AND('Your debts'!$F$15&lt;&gt;"",'Your debts'!$F$14&lt;&gt;"",'Your debts'!$F$15&lt;'Your debts'!$F$14),BA274,0)))))</f>
        <v/>
      </c>
      <c r="AX274" s="33">
        <f>AV274-AW274</f>
        <v/>
      </c>
      <c r="AY274" s="33">
        <f>IF(BC273&lt;=0,0,ROUND(BC273*(1+'Your debts'!$D$15/1200),2))</f>
        <v/>
      </c>
      <c r="AZ274" s="33">
        <f>IF(AY274&lt;=0,0,MIN('Your debts'!$E$15,AY274))</f>
        <v/>
      </c>
      <c r="BA274" s="33">
        <f>AY274-AZ274</f>
        <v/>
      </c>
      <c r="BB274" s="33">
        <f>IF('Your debts'!$F$15="",0,MIN(BA274,MAX(0,MAX(0,'Your debts'!$C$19-(G274+L274+Q274+V274+AA274+AF274+AK274+AP274+AU274+AZ274))-(IF(AND('Your debts'!$F$6&lt;&gt;"",'Your debts'!$F$15&lt;&gt;"",'Your debts'!$F$6&lt;'Your debts'!$F$15),H274,0)+IF(AND('Your debts'!$F$7&lt;&gt;"",'Your debts'!$F$15&lt;&gt;"",'Your debts'!$F$7&lt;'Your debts'!$F$15),M274,0)+IF(AND('Your debts'!$F$8&lt;&gt;"",'Your debts'!$F$15&lt;&gt;"",'Your debts'!$F$8&lt;'Your debts'!$F$15),R274,0)+IF(AND('Your debts'!$F$9&lt;&gt;"",'Your debts'!$F$15&lt;&gt;"",'Your debts'!$F$9&lt;'Your debts'!$F$15),W274,0)+IF(AND('Your debts'!$F$10&lt;&gt;"",'Your debts'!$F$15&lt;&gt;"",'Your debts'!$F$10&lt;'Your debts'!$F$15),AB274,0)+IF(AND('Your debts'!$F$11&lt;&gt;"",'Your debts'!$F$15&lt;&gt;"",'Your debts'!$F$11&lt;'Your debts'!$F$15),AG274,0)+IF(AND('Your debts'!$F$12&lt;&gt;"",'Your debts'!$F$15&lt;&gt;"",'Your debts'!$F$12&lt;'Your debts'!$F$15),AL274,0)+IF(AND('Your debts'!$F$13&lt;&gt;"",'Your debts'!$F$15&lt;&gt;"",'Your debts'!$F$13&lt;'Your debts'!$F$15),AQ274,0)+IF(AND('Your debts'!$F$14&lt;&gt;"",'Your debts'!$F$15&lt;&gt;"",'Your debts'!$F$14&lt;'Your debts'!$F$15),AV274,0)))))</f>
        <v/>
      </c>
      <c r="BC274" s="33">
        <f>BA274-BB274</f>
        <v/>
      </c>
    </row>
    <row r="275">
      <c r="A275" s="30" t="n">
        <v>260</v>
      </c>
      <c r="B275" s="31">
        <f>EDATE($B$15,260)</f>
        <v/>
      </c>
      <c r="C275" s="32">
        <f>IF(J274&lt;=0,0,F275-J274)+IF(O274&lt;=0,0,K275-O274)+IF(T274&lt;=0,0,P275-T274)+IF(Y274&lt;=0,0,U275-Y274)+IF(AD274&lt;=0,0,Z275-AD274)+IF(AI274&lt;=0,0,AE275-AI274)+IF(AN274&lt;=0,0,AJ275-AN274)+IF(AS274&lt;=0,0,AO275-AS274)+IF(AX274&lt;=0,0,AT275-AX274)+IF(BC274&lt;=0,0,AY275-BC274)</f>
        <v/>
      </c>
      <c r="D275" s="32">
        <f>G275+I275+L275+N275+Q275+S275+V275+X275+AA275+AC275+AF275+AH275+AK275+AM275+AP275+AR275+AU275+AW275+AZ275+BB275</f>
        <v/>
      </c>
      <c r="E275" s="32">
        <f>J275+O275+T275+Y275+AD275+AI275+AN275+AS275+AX275+BC275</f>
        <v/>
      </c>
      <c r="F275" s="33">
        <f>IF(J274&lt;=0,0,ROUND(J274*(1+'Your debts'!$D$6/1200),2))</f>
        <v/>
      </c>
      <c r="G275" s="33">
        <f>IF(F275&lt;=0,0,MIN('Your debts'!$E$6,F275))</f>
        <v/>
      </c>
      <c r="H275" s="33">
        <f>F275-G275</f>
        <v/>
      </c>
      <c r="I275" s="33">
        <f>IF('Your debts'!$F$6="",0,MIN(H275,MAX(0,MAX(0,'Your debts'!$C$19-(G275+L275+Q275+V275+AA275+AF275+AK275+AP275+AU275+AZ275))-(IF(AND('Your debts'!$F$7&lt;&gt;"",'Your debts'!$F$6&lt;&gt;"",'Your debts'!$F$7&lt;'Your debts'!$F$6),M275,0)+IF(AND('Your debts'!$F$8&lt;&gt;"",'Your debts'!$F$6&lt;&gt;"",'Your debts'!$F$8&lt;'Your debts'!$F$6),R275,0)+IF(AND('Your debts'!$F$9&lt;&gt;"",'Your debts'!$F$6&lt;&gt;"",'Your debts'!$F$9&lt;'Your debts'!$F$6),W275,0)+IF(AND('Your debts'!$F$10&lt;&gt;"",'Your debts'!$F$6&lt;&gt;"",'Your debts'!$F$10&lt;'Your debts'!$F$6),AB275,0)+IF(AND('Your debts'!$F$11&lt;&gt;"",'Your debts'!$F$6&lt;&gt;"",'Your debts'!$F$11&lt;'Your debts'!$F$6),AG275,0)+IF(AND('Your debts'!$F$12&lt;&gt;"",'Your debts'!$F$6&lt;&gt;"",'Your debts'!$F$12&lt;'Your debts'!$F$6),AL275,0)+IF(AND('Your debts'!$F$13&lt;&gt;"",'Your debts'!$F$6&lt;&gt;"",'Your debts'!$F$13&lt;'Your debts'!$F$6),AQ275,0)+IF(AND('Your debts'!$F$14&lt;&gt;"",'Your debts'!$F$6&lt;&gt;"",'Your debts'!$F$14&lt;'Your debts'!$F$6),AV275,0)+IF(AND('Your debts'!$F$15&lt;&gt;"",'Your debts'!$F$6&lt;&gt;"",'Your debts'!$F$15&lt;'Your debts'!$F$6),BA275,0)))))</f>
        <v/>
      </c>
      <c r="J275" s="33">
        <f>H275-I275</f>
        <v/>
      </c>
      <c r="K275" s="33">
        <f>IF(O274&lt;=0,0,ROUND(O274*(1+'Your debts'!$D$7/1200),2))</f>
        <v/>
      </c>
      <c r="L275" s="33">
        <f>IF(K275&lt;=0,0,MIN('Your debts'!$E$7,K275))</f>
        <v/>
      </c>
      <c r="M275" s="33">
        <f>K275-L275</f>
        <v/>
      </c>
      <c r="N275" s="33">
        <f>IF('Your debts'!$F$7="",0,MIN(M275,MAX(0,MAX(0,'Your debts'!$C$19-(G275+L275+Q275+V275+AA275+AF275+AK275+AP275+AU275+AZ275))-(IF(AND('Your debts'!$F$6&lt;&gt;"",'Your debts'!$F$7&lt;&gt;"",'Your debts'!$F$6&lt;'Your debts'!$F$7),H275,0)+IF(AND('Your debts'!$F$8&lt;&gt;"",'Your debts'!$F$7&lt;&gt;"",'Your debts'!$F$8&lt;'Your debts'!$F$7),R275,0)+IF(AND('Your debts'!$F$9&lt;&gt;"",'Your debts'!$F$7&lt;&gt;"",'Your debts'!$F$9&lt;'Your debts'!$F$7),W275,0)+IF(AND('Your debts'!$F$10&lt;&gt;"",'Your debts'!$F$7&lt;&gt;"",'Your debts'!$F$10&lt;'Your debts'!$F$7),AB275,0)+IF(AND('Your debts'!$F$11&lt;&gt;"",'Your debts'!$F$7&lt;&gt;"",'Your debts'!$F$11&lt;'Your debts'!$F$7),AG275,0)+IF(AND('Your debts'!$F$12&lt;&gt;"",'Your debts'!$F$7&lt;&gt;"",'Your debts'!$F$12&lt;'Your debts'!$F$7),AL275,0)+IF(AND('Your debts'!$F$13&lt;&gt;"",'Your debts'!$F$7&lt;&gt;"",'Your debts'!$F$13&lt;'Your debts'!$F$7),AQ275,0)+IF(AND('Your debts'!$F$14&lt;&gt;"",'Your debts'!$F$7&lt;&gt;"",'Your debts'!$F$14&lt;'Your debts'!$F$7),AV275,0)+IF(AND('Your debts'!$F$15&lt;&gt;"",'Your debts'!$F$7&lt;&gt;"",'Your debts'!$F$15&lt;'Your debts'!$F$7),BA275,0)))))</f>
        <v/>
      </c>
      <c r="O275" s="33">
        <f>M275-N275</f>
        <v/>
      </c>
      <c r="P275" s="33">
        <f>IF(T274&lt;=0,0,ROUND(T274*(1+'Your debts'!$D$8/1200),2))</f>
        <v/>
      </c>
      <c r="Q275" s="33">
        <f>IF(P275&lt;=0,0,MIN('Your debts'!$E$8,P275))</f>
        <v/>
      </c>
      <c r="R275" s="33">
        <f>P275-Q275</f>
        <v/>
      </c>
      <c r="S275" s="33">
        <f>IF('Your debts'!$F$8="",0,MIN(R275,MAX(0,MAX(0,'Your debts'!$C$19-(G275+L275+Q275+V275+AA275+AF275+AK275+AP275+AU275+AZ275))-(IF(AND('Your debts'!$F$6&lt;&gt;"",'Your debts'!$F$8&lt;&gt;"",'Your debts'!$F$6&lt;'Your debts'!$F$8),H275,0)+IF(AND('Your debts'!$F$7&lt;&gt;"",'Your debts'!$F$8&lt;&gt;"",'Your debts'!$F$7&lt;'Your debts'!$F$8),M275,0)+IF(AND('Your debts'!$F$9&lt;&gt;"",'Your debts'!$F$8&lt;&gt;"",'Your debts'!$F$9&lt;'Your debts'!$F$8),W275,0)+IF(AND('Your debts'!$F$10&lt;&gt;"",'Your debts'!$F$8&lt;&gt;"",'Your debts'!$F$10&lt;'Your debts'!$F$8),AB275,0)+IF(AND('Your debts'!$F$11&lt;&gt;"",'Your debts'!$F$8&lt;&gt;"",'Your debts'!$F$11&lt;'Your debts'!$F$8),AG275,0)+IF(AND('Your debts'!$F$12&lt;&gt;"",'Your debts'!$F$8&lt;&gt;"",'Your debts'!$F$12&lt;'Your debts'!$F$8),AL275,0)+IF(AND('Your debts'!$F$13&lt;&gt;"",'Your debts'!$F$8&lt;&gt;"",'Your debts'!$F$13&lt;'Your debts'!$F$8),AQ275,0)+IF(AND('Your debts'!$F$14&lt;&gt;"",'Your debts'!$F$8&lt;&gt;"",'Your debts'!$F$14&lt;'Your debts'!$F$8),AV275,0)+IF(AND('Your debts'!$F$15&lt;&gt;"",'Your debts'!$F$8&lt;&gt;"",'Your debts'!$F$15&lt;'Your debts'!$F$8),BA275,0)))))</f>
        <v/>
      </c>
      <c r="T275" s="33">
        <f>R275-S275</f>
        <v/>
      </c>
      <c r="U275" s="33">
        <f>IF(Y274&lt;=0,0,ROUND(Y274*(1+'Your debts'!$D$9/1200),2))</f>
        <v/>
      </c>
      <c r="V275" s="33">
        <f>IF(U275&lt;=0,0,MIN('Your debts'!$E$9,U275))</f>
        <v/>
      </c>
      <c r="W275" s="33">
        <f>U275-V275</f>
        <v/>
      </c>
      <c r="X275" s="33">
        <f>IF('Your debts'!$F$9="",0,MIN(W275,MAX(0,MAX(0,'Your debts'!$C$19-(G275+L275+Q275+V275+AA275+AF275+AK275+AP275+AU275+AZ275))-(IF(AND('Your debts'!$F$6&lt;&gt;"",'Your debts'!$F$9&lt;&gt;"",'Your debts'!$F$6&lt;'Your debts'!$F$9),H275,0)+IF(AND('Your debts'!$F$7&lt;&gt;"",'Your debts'!$F$9&lt;&gt;"",'Your debts'!$F$7&lt;'Your debts'!$F$9),M275,0)+IF(AND('Your debts'!$F$8&lt;&gt;"",'Your debts'!$F$9&lt;&gt;"",'Your debts'!$F$8&lt;'Your debts'!$F$9),R275,0)+IF(AND('Your debts'!$F$10&lt;&gt;"",'Your debts'!$F$9&lt;&gt;"",'Your debts'!$F$10&lt;'Your debts'!$F$9),AB275,0)+IF(AND('Your debts'!$F$11&lt;&gt;"",'Your debts'!$F$9&lt;&gt;"",'Your debts'!$F$11&lt;'Your debts'!$F$9),AG275,0)+IF(AND('Your debts'!$F$12&lt;&gt;"",'Your debts'!$F$9&lt;&gt;"",'Your debts'!$F$12&lt;'Your debts'!$F$9),AL275,0)+IF(AND('Your debts'!$F$13&lt;&gt;"",'Your debts'!$F$9&lt;&gt;"",'Your debts'!$F$13&lt;'Your debts'!$F$9),AQ275,0)+IF(AND('Your debts'!$F$14&lt;&gt;"",'Your debts'!$F$9&lt;&gt;"",'Your debts'!$F$14&lt;'Your debts'!$F$9),AV275,0)+IF(AND('Your debts'!$F$15&lt;&gt;"",'Your debts'!$F$9&lt;&gt;"",'Your debts'!$F$15&lt;'Your debts'!$F$9),BA275,0)))))</f>
        <v/>
      </c>
      <c r="Y275" s="33">
        <f>W275-X275</f>
        <v/>
      </c>
      <c r="Z275" s="33">
        <f>IF(AD274&lt;=0,0,ROUND(AD274*(1+'Your debts'!$D$10/1200),2))</f>
        <v/>
      </c>
      <c r="AA275" s="33">
        <f>IF(Z275&lt;=0,0,MIN('Your debts'!$E$10,Z275))</f>
        <v/>
      </c>
      <c r="AB275" s="33">
        <f>Z275-AA275</f>
        <v/>
      </c>
      <c r="AC275" s="33">
        <f>IF('Your debts'!$F$10="",0,MIN(AB275,MAX(0,MAX(0,'Your debts'!$C$19-(G275+L275+Q275+V275+AA275+AF275+AK275+AP275+AU275+AZ275))-(IF(AND('Your debts'!$F$6&lt;&gt;"",'Your debts'!$F$10&lt;&gt;"",'Your debts'!$F$6&lt;'Your debts'!$F$10),H275,0)+IF(AND('Your debts'!$F$7&lt;&gt;"",'Your debts'!$F$10&lt;&gt;"",'Your debts'!$F$7&lt;'Your debts'!$F$10),M275,0)+IF(AND('Your debts'!$F$8&lt;&gt;"",'Your debts'!$F$10&lt;&gt;"",'Your debts'!$F$8&lt;'Your debts'!$F$10),R275,0)+IF(AND('Your debts'!$F$9&lt;&gt;"",'Your debts'!$F$10&lt;&gt;"",'Your debts'!$F$9&lt;'Your debts'!$F$10),W275,0)+IF(AND('Your debts'!$F$11&lt;&gt;"",'Your debts'!$F$10&lt;&gt;"",'Your debts'!$F$11&lt;'Your debts'!$F$10),AG275,0)+IF(AND('Your debts'!$F$12&lt;&gt;"",'Your debts'!$F$10&lt;&gt;"",'Your debts'!$F$12&lt;'Your debts'!$F$10),AL275,0)+IF(AND('Your debts'!$F$13&lt;&gt;"",'Your debts'!$F$10&lt;&gt;"",'Your debts'!$F$13&lt;'Your debts'!$F$10),AQ275,0)+IF(AND('Your debts'!$F$14&lt;&gt;"",'Your debts'!$F$10&lt;&gt;"",'Your debts'!$F$14&lt;'Your debts'!$F$10),AV275,0)+IF(AND('Your debts'!$F$15&lt;&gt;"",'Your debts'!$F$10&lt;&gt;"",'Your debts'!$F$15&lt;'Your debts'!$F$10),BA275,0)))))</f>
        <v/>
      </c>
      <c r="AD275" s="33">
        <f>AB275-AC275</f>
        <v/>
      </c>
      <c r="AE275" s="33">
        <f>IF(AI274&lt;=0,0,ROUND(AI274*(1+'Your debts'!$D$11/1200),2))</f>
        <v/>
      </c>
      <c r="AF275" s="33">
        <f>IF(AE275&lt;=0,0,MIN('Your debts'!$E$11,AE275))</f>
        <v/>
      </c>
      <c r="AG275" s="33">
        <f>AE275-AF275</f>
        <v/>
      </c>
      <c r="AH275" s="33">
        <f>IF('Your debts'!$F$11="",0,MIN(AG275,MAX(0,MAX(0,'Your debts'!$C$19-(G275+L275+Q275+V275+AA275+AF275+AK275+AP275+AU275+AZ275))-(IF(AND('Your debts'!$F$6&lt;&gt;"",'Your debts'!$F$11&lt;&gt;"",'Your debts'!$F$6&lt;'Your debts'!$F$11),H275,0)+IF(AND('Your debts'!$F$7&lt;&gt;"",'Your debts'!$F$11&lt;&gt;"",'Your debts'!$F$7&lt;'Your debts'!$F$11),M275,0)+IF(AND('Your debts'!$F$8&lt;&gt;"",'Your debts'!$F$11&lt;&gt;"",'Your debts'!$F$8&lt;'Your debts'!$F$11),R275,0)+IF(AND('Your debts'!$F$9&lt;&gt;"",'Your debts'!$F$11&lt;&gt;"",'Your debts'!$F$9&lt;'Your debts'!$F$11),W275,0)+IF(AND('Your debts'!$F$10&lt;&gt;"",'Your debts'!$F$11&lt;&gt;"",'Your debts'!$F$10&lt;'Your debts'!$F$11),AB275,0)+IF(AND('Your debts'!$F$12&lt;&gt;"",'Your debts'!$F$11&lt;&gt;"",'Your debts'!$F$12&lt;'Your debts'!$F$11),AL275,0)+IF(AND('Your debts'!$F$13&lt;&gt;"",'Your debts'!$F$11&lt;&gt;"",'Your debts'!$F$13&lt;'Your debts'!$F$11),AQ275,0)+IF(AND('Your debts'!$F$14&lt;&gt;"",'Your debts'!$F$11&lt;&gt;"",'Your debts'!$F$14&lt;'Your debts'!$F$11),AV275,0)+IF(AND('Your debts'!$F$15&lt;&gt;"",'Your debts'!$F$11&lt;&gt;"",'Your debts'!$F$15&lt;'Your debts'!$F$11),BA275,0)))))</f>
        <v/>
      </c>
      <c r="AI275" s="33">
        <f>AG275-AH275</f>
        <v/>
      </c>
      <c r="AJ275" s="33">
        <f>IF(AN274&lt;=0,0,ROUND(AN274*(1+'Your debts'!$D$12/1200),2))</f>
        <v/>
      </c>
      <c r="AK275" s="33">
        <f>IF(AJ275&lt;=0,0,MIN('Your debts'!$E$12,AJ275))</f>
        <v/>
      </c>
      <c r="AL275" s="33">
        <f>AJ275-AK275</f>
        <v/>
      </c>
      <c r="AM275" s="33">
        <f>IF('Your debts'!$F$12="",0,MIN(AL275,MAX(0,MAX(0,'Your debts'!$C$19-(G275+L275+Q275+V275+AA275+AF275+AK275+AP275+AU275+AZ275))-(IF(AND('Your debts'!$F$6&lt;&gt;"",'Your debts'!$F$12&lt;&gt;"",'Your debts'!$F$6&lt;'Your debts'!$F$12),H275,0)+IF(AND('Your debts'!$F$7&lt;&gt;"",'Your debts'!$F$12&lt;&gt;"",'Your debts'!$F$7&lt;'Your debts'!$F$12),M275,0)+IF(AND('Your debts'!$F$8&lt;&gt;"",'Your debts'!$F$12&lt;&gt;"",'Your debts'!$F$8&lt;'Your debts'!$F$12),R275,0)+IF(AND('Your debts'!$F$9&lt;&gt;"",'Your debts'!$F$12&lt;&gt;"",'Your debts'!$F$9&lt;'Your debts'!$F$12),W275,0)+IF(AND('Your debts'!$F$10&lt;&gt;"",'Your debts'!$F$12&lt;&gt;"",'Your debts'!$F$10&lt;'Your debts'!$F$12),AB275,0)+IF(AND('Your debts'!$F$11&lt;&gt;"",'Your debts'!$F$12&lt;&gt;"",'Your debts'!$F$11&lt;'Your debts'!$F$12),AG275,0)+IF(AND('Your debts'!$F$13&lt;&gt;"",'Your debts'!$F$12&lt;&gt;"",'Your debts'!$F$13&lt;'Your debts'!$F$12),AQ275,0)+IF(AND('Your debts'!$F$14&lt;&gt;"",'Your debts'!$F$12&lt;&gt;"",'Your debts'!$F$14&lt;'Your debts'!$F$12),AV275,0)+IF(AND('Your debts'!$F$15&lt;&gt;"",'Your debts'!$F$12&lt;&gt;"",'Your debts'!$F$15&lt;'Your debts'!$F$12),BA275,0)))))</f>
        <v/>
      </c>
      <c r="AN275" s="33">
        <f>AL275-AM275</f>
        <v/>
      </c>
      <c r="AO275" s="33">
        <f>IF(AS274&lt;=0,0,ROUND(AS274*(1+'Your debts'!$D$13/1200),2))</f>
        <v/>
      </c>
      <c r="AP275" s="33">
        <f>IF(AO275&lt;=0,0,MIN('Your debts'!$E$13,AO275))</f>
        <v/>
      </c>
      <c r="AQ275" s="33">
        <f>AO275-AP275</f>
        <v/>
      </c>
      <c r="AR275" s="33">
        <f>IF('Your debts'!$F$13="",0,MIN(AQ275,MAX(0,MAX(0,'Your debts'!$C$19-(G275+L275+Q275+V275+AA275+AF275+AK275+AP275+AU275+AZ275))-(IF(AND('Your debts'!$F$6&lt;&gt;"",'Your debts'!$F$13&lt;&gt;"",'Your debts'!$F$6&lt;'Your debts'!$F$13),H275,0)+IF(AND('Your debts'!$F$7&lt;&gt;"",'Your debts'!$F$13&lt;&gt;"",'Your debts'!$F$7&lt;'Your debts'!$F$13),M275,0)+IF(AND('Your debts'!$F$8&lt;&gt;"",'Your debts'!$F$13&lt;&gt;"",'Your debts'!$F$8&lt;'Your debts'!$F$13),R275,0)+IF(AND('Your debts'!$F$9&lt;&gt;"",'Your debts'!$F$13&lt;&gt;"",'Your debts'!$F$9&lt;'Your debts'!$F$13),W275,0)+IF(AND('Your debts'!$F$10&lt;&gt;"",'Your debts'!$F$13&lt;&gt;"",'Your debts'!$F$10&lt;'Your debts'!$F$13),AB275,0)+IF(AND('Your debts'!$F$11&lt;&gt;"",'Your debts'!$F$13&lt;&gt;"",'Your debts'!$F$11&lt;'Your debts'!$F$13),AG275,0)+IF(AND('Your debts'!$F$12&lt;&gt;"",'Your debts'!$F$13&lt;&gt;"",'Your debts'!$F$12&lt;'Your debts'!$F$13),AL275,0)+IF(AND('Your debts'!$F$14&lt;&gt;"",'Your debts'!$F$13&lt;&gt;"",'Your debts'!$F$14&lt;'Your debts'!$F$13),AV275,0)+IF(AND('Your debts'!$F$15&lt;&gt;"",'Your debts'!$F$13&lt;&gt;"",'Your debts'!$F$15&lt;'Your debts'!$F$13),BA275,0)))))</f>
        <v/>
      </c>
      <c r="AS275" s="33">
        <f>AQ275-AR275</f>
        <v/>
      </c>
      <c r="AT275" s="33">
        <f>IF(AX274&lt;=0,0,ROUND(AX274*(1+'Your debts'!$D$14/1200),2))</f>
        <v/>
      </c>
      <c r="AU275" s="33">
        <f>IF(AT275&lt;=0,0,MIN('Your debts'!$E$14,AT275))</f>
        <v/>
      </c>
      <c r="AV275" s="33">
        <f>AT275-AU275</f>
        <v/>
      </c>
      <c r="AW275" s="33">
        <f>IF('Your debts'!$F$14="",0,MIN(AV275,MAX(0,MAX(0,'Your debts'!$C$19-(G275+L275+Q275+V275+AA275+AF275+AK275+AP275+AU275+AZ275))-(IF(AND('Your debts'!$F$6&lt;&gt;"",'Your debts'!$F$14&lt;&gt;"",'Your debts'!$F$6&lt;'Your debts'!$F$14),H275,0)+IF(AND('Your debts'!$F$7&lt;&gt;"",'Your debts'!$F$14&lt;&gt;"",'Your debts'!$F$7&lt;'Your debts'!$F$14),M275,0)+IF(AND('Your debts'!$F$8&lt;&gt;"",'Your debts'!$F$14&lt;&gt;"",'Your debts'!$F$8&lt;'Your debts'!$F$14),R275,0)+IF(AND('Your debts'!$F$9&lt;&gt;"",'Your debts'!$F$14&lt;&gt;"",'Your debts'!$F$9&lt;'Your debts'!$F$14),W275,0)+IF(AND('Your debts'!$F$10&lt;&gt;"",'Your debts'!$F$14&lt;&gt;"",'Your debts'!$F$10&lt;'Your debts'!$F$14),AB275,0)+IF(AND('Your debts'!$F$11&lt;&gt;"",'Your debts'!$F$14&lt;&gt;"",'Your debts'!$F$11&lt;'Your debts'!$F$14),AG275,0)+IF(AND('Your debts'!$F$12&lt;&gt;"",'Your debts'!$F$14&lt;&gt;"",'Your debts'!$F$12&lt;'Your debts'!$F$14),AL275,0)+IF(AND('Your debts'!$F$13&lt;&gt;"",'Your debts'!$F$14&lt;&gt;"",'Your debts'!$F$13&lt;'Your debts'!$F$14),AQ275,0)+IF(AND('Your debts'!$F$15&lt;&gt;"",'Your debts'!$F$14&lt;&gt;"",'Your debts'!$F$15&lt;'Your debts'!$F$14),BA275,0)))))</f>
        <v/>
      </c>
      <c r="AX275" s="33">
        <f>AV275-AW275</f>
        <v/>
      </c>
      <c r="AY275" s="33">
        <f>IF(BC274&lt;=0,0,ROUND(BC274*(1+'Your debts'!$D$15/1200),2))</f>
        <v/>
      </c>
      <c r="AZ275" s="33">
        <f>IF(AY275&lt;=0,0,MIN('Your debts'!$E$15,AY275))</f>
        <v/>
      </c>
      <c r="BA275" s="33">
        <f>AY275-AZ275</f>
        <v/>
      </c>
      <c r="BB275" s="33">
        <f>IF('Your debts'!$F$15="",0,MIN(BA275,MAX(0,MAX(0,'Your debts'!$C$19-(G275+L275+Q275+V275+AA275+AF275+AK275+AP275+AU275+AZ275))-(IF(AND('Your debts'!$F$6&lt;&gt;"",'Your debts'!$F$15&lt;&gt;"",'Your debts'!$F$6&lt;'Your debts'!$F$15),H275,0)+IF(AND('Your debts'!$F$7&lt;&gt;"",'Your debts'!$F$15&lt;&gt;"",'Your debts'!$F$7&lt;'Your debts'!$F$15),M275,0)+IF(AND('Your debts'!$F$8&lt;&gt;"",'Your debts'!$F$15&lt;&gt;"",'Your debts'!$F$8&lt;'Your debts'!$F$15),R275,0)+IF(AND('Your debts'!$F$9&lt;&gt;"",'Your debts'!$F$15&lt;&gt;"",'Your debts'!$F$9&lt;'Your debts'!$F$15),W275,0)+IF(AND('Your debts'!$F$10&lt;&gt;"",'Your debts'!$F$15&lt;&gt;"",'Your debts'!$F$10&lt;'Your debts'!$F$15),AB275,0)+IF(AND('Your debts'!$F$11&lt;&gt;"",'Your debts'!$F$15&lt;&gt;"",'Your debts'!$F$11&lt;'Your debts'!$F$15),AG275,0)+IF(AND('Your debts'!$F$12&lt;&gt;"",'Your debts'!$F$15&lt;&gt;"",'Your debts'!$F$12&lt;'Your debts'!$F$15),AL275,0)+IF(AND('Your debts'!$F$13&lt;&gt;"",'Your debts'!$F$15&lt;&gt;"",'Your debts'!$F$13&lt;'Your debts'!$F$15),AQ275,0)+IF(AND('Your debts'!$F$14&lt;&gt;"",'Your debts'!$F$15&lt;&gt;"",'Your debts'!$F$14&lt;'Your debts'!$F$15),AV275,0)))))</f>
        <v/>
      </c>
      <c r="BC275" s="33">
        <f>BA275-BB275</f>
        <v/>
      </c>
    </row>
    <row r="276">
      <c r="A276" s="30" t="n">
        <v>261</v>
      </c>
      <c r="B276" s="31">
        <f>EDATE($B$15,261)</f>
        <v/>
      </c>
      <c r="C276" s="32">
        <f>IF(J275&lt;=0,0,F276-J275)+IF(O275&lt;=0,0,K276-O275)+IF(T275&lt;=0,0,P276-T275)+IF(Y275&lt;=0,0,U276-Y275)+IF(AD275&lt;=0,0,Z276-AD275)+IF(AI275&lt;=0,0,AE276-AI275)+IF(AN275&lt;=0,0,AJ276-AN275)+IF(AS275&lt;=0,0,AO276-AS275)+IF(AX275&lt;=0,0,AT276-AX275)+IF(BC275&lt;=0,0,AY276-BC275)</f>
        <v/>
      </c>
      <c r="D276" s="32">
        <f>G276+I276+L276+N276+Q276+S276+V276+X276+AA276+AC276+AF276+AH276+AK276+AM276+AP276+AR276+AU276+AW276+AZ276+BB276</f>
        <v/>
      </c>
      <c r="E276" s="32">
        <f>J276+O276+T276+Y276+AD276+AI276+AN276+AS276+AX276+BC276</f>
        <v/>
      </c>
      <c r="F276" s="33">
        <f>IF(J275&lt;=0,0,ROUND(J275*(1+'Your debts'!$D$6/1200),2))</f>
        <v/>
      </c>
      <c r="G276" s="33">
        <f>IF(F276&lt;=0,0,MIN('Your debts'!$E$6,F276))</f>
        <v/>
      </c>
      <c r="H276" s="33">
        <f>F276-G276</f>
        <v/>
      </c>
      <c r="I276" s="33">
        <f>IF('Your debts'!$F$6="",0,MIN(H276,MAX(0,MAX(0,'Your debts'!$C$19-(G276+L276+Q276+V276+AA276+AF276+AK276+AP276+AU276+AZ276))-(IF(AND('Your debts'!$F$7&lt;&gt;"",'Your debts'!$F$6&lt;&gt;"",'Your debts'!$F$7&lt;'Your debts'!$F$6),M276,0)+IF(AND('Your debts'!$F$8&lt;&gt;"",'Your debts'!$F$6&lt;&gt;"",'Your debts'!$F$8&lt;'Your debts'!$F$6),R276,0)+IF(AND('Your debts'!$F$9&lt;&gt;"",'Your debts'!$F$6&lt;&gt;"",'Your debts'!$F$9&lt;'Your debts'!$F$6),W276,0)+IF(AND('Your debts'!$F$10&lt;&gt;"",'Your debts'!$F$6&lt;&gt;"",'Your debts'!$F$10&lt;'Your debts'!$F$6),AB276,0)+IF(AND('Your debts'!$F$11&lt;&gt;"",'Your debts'!$F$6&lt;&gt;"",'Your debts'!$F$11&lt;'Your debts'!$F$6),AG276,0)+IF(AND('Your debts'!$F$12&lt;&gt;"",'Your debts'!$F$6&lt;&gt;"",'Your debts'!$F$12&lt;'Your debts'!$F$6),AL276,0)+IF(AND('Your debts'!$F$13&lt;&gt;"",'Your debts'!$F$6&lt;&gt;"",'Your debts'!$F$13&lt;'Your debts'!$F$6),AQ276,0)+IF(AND('Your debts'!$F$14&lt;&gt;"",'Your debts'!$F$6&lt;&gt;"",'Your debts'!$F$14&lt;'Your debts'!$F$6),AV276,0)+IF(AND('Your debts'!$F$15&lt;&gt;"",'Your debts'!$F$6&lt;&gt;"",'Your debts'!$F$15&lt;'Your debts'!$F$6),BA276,0)))))</f>
        <v/>
      </c>
      <c r="J276" s="33">
        <f>H276-I276</f>
        <v/>
      </c>
      <c r="K276" s="33">
        <f>IF(O275&lt;=0,0,ROUND(O275*(1+'Your debts'!$D$7/1200),2))</f>
        <v/>
      </c>
      <c r="L276" s="33">
        <f>IF(K276&lt;=0,0,MIN('Your debts'!$E$7,K276))</f>
        <v/>
      </c>
      <c r="M276" s="33">
        <f>K276-L276</f>
        <v/>
      </c>
      <c r="N276" s="33">
        <f>IF('Your debts'!$F$7="",0,MIN(M276,MAX(0,MAX(0,'Your debts'!$C$19-(G276+L276+Q276+V276+AA276+AF276+AK276+AP276+AU276+AZ276))-(IF(AND('Your debts'!$F$6&lt;&gt;"",'Your debts'!$F$7&lt;&gt;"",'Your debts'!$F$6&lt;'Your debts'!$F$7),H276,0)+IF(AND('Your debts'!$F$8&lt;&gt;"",'Your debts'!$F$7&lt;&gt;"",'Your debts'!$F$8&lt;'Your debts'!$F$7),R276,0)+IF(AND('Your debts'!$F$9&lt;&gt;"",'Your debts'!$F$7&lt;&gt;"",'Your debts'!$F$9&lt;'Your debts'!$F$7),W276,0)+IF(AND('Your debts'!$F$10&lt;&gt;"",'Your debts'!$F$7&lt;&gt;"",'Your debts'!$F$10&lt;'Your debts'!$F$7),AB276,0)+IF(AND('Your debts'!$F$11&lt;&gt;"",'Your debts'!$F$7&lt;&gt;"",'Your debts'!$F$11&lt;'Your debts'!$F$7),AG276,0)+IF(AND('Your debts'!$F$12&lt;&gt;"",'Your debts'!$F$7&lt;&gt;"",'Your debts'!$F$12&lt;'Your debts'!$F$7),AL276,0)+IF(AND('Your debts'!$F$13&lt;&gt;"",'Your debts'!$F$7&lt;&gt;"",'Your debts'!$F$13&lt;'Your debts'!$F$7),AQ276,0)+IF(AND('Your debts'!$F$14&lt;&gt;"",'Your debts'!$F$7&lt;&gt;"",'Your debts'!$F$14&lt;'Your debts'!$F$7),AV276,0)+IF(AND('Your debts'!$F$15&lt;&gt;"",'Your debts'!$F$7&lt;&gt;"",'Your debts'!$F$15&lt;'Your debts'!$F$7),BA276,0)))))</f>
        <v/>
      </c>
      <c r="O276" s="33">
        <f>M276-N276</f>
        <v/>
      </c>
      <c r="P276" s="33">
        <f>IF(T275&lt;=0,0,ROUND(T275*(1+'Your debts'!$D$8/1200),2))</f>
        <v/>
      </c>
      <c r="Q276" s="33">
        <f>IF(P276&lt;=0,0,MIN('Your debts'!$E$8,P276))</f>
        <v/>
      </c>
      <c r="R276" s="33">
        <f>P276-Q276</f>
        <v/>
      </c>
      <c r="S276" s="33">
        <f>IF('Your debts'!$F$8="",0,MIN(R276,MAX(0,MAX(0,'Your debts'!$C$19-(G276+L276+Q276+V276+AA276+AF276+AK276+AP276+AU276+AZ276))-(IF(AND('Your debts'!$F$6&lt;&gt;"",'Your debts'!$F$8&lt;&gt;"",'Your debts'!$F$6&lt;'Your debts'!$F$8),H276,0)+IF(AND('Your debts'!$F$7&lt;&gt;"",'Your debts'!$F$8&lt;&gt;"",'Your debts'!$F$7&lt;'Your debts'!$F$8),M276,0)+IF(AND('Your debts'!$F$9&lt;&gt;"",'Your debts'!$F$8&lt;&gt;"",'Your debts'!$F$9&lt;'Your debts'!$F$8),W276,0)+IF(AND('Your debts'!$F$10&lt;&gt;"",'Your debts'!$F$8&lt;&gt;"",'Your debts'!$F$10&lt;'Your debts'!$F$8),AB276,0)+IF(AND('Your debts'!$F$11&lt;&gt;"",'Your debts'!$F$8&lt;&gt;"",'Your debts'!$F$11&lt;'Your debts'!$F$8),AG276,0)+IF(AND('Your debts'!$F$12&lt;&gt;"",'Your debts'!$F$8&lt;&gt;"",'Your debts'!$F$12&lt;'Your debts'!$F$8),AL276,0)+IF(AND('Your debts'!$F$13&lt;&gt;"",'Your debts'!$F$8&lt;&gt;"",'Your debts'!$F$13&lt;'Your debts'!$F$8),AQ276,0)+IF(AND('Your debts'!$F$14&lt;&gt;"",'Your debts'!$F$8&lt;&gt;"",'Your debts'!$F$14&lt;'Your debts'!$F$8),AV276,0)+IF(AND('Your debts'!$F$15&lt;&gt;"",'Your debts'!$F$8&lt;&gt;"",'Your debts'!$F$15&lt;'Your debts'!$F$8),BA276,0)))))</f>
        <v/>
      </c>
      <c r="T276" s="33">
        <f>R276-S276</f>
        <v/>
      </c>
      <c r="U276" s="33">
        <f>IF(Y275&lt;=0,0,ROUND(Y275*(1+'Your debts'!$D$9/1200),2))</f>
        <v/>
      </c>
      <c r="V276" s="33">
        <f>IF(U276&lt;=0,0,MIN('Your debts'!$E$9,U276))</f>
        <v/>
      </c>
      <c r="W276" s="33">
        <f>U276-V276</f>
        <v/>
      </c>
      <c r="X276" s="33">
        <f>IF('Your debts'!$F$9="",0,MIN(W276,MAX(0,MAX(0,'Your debts'!$C$19-(G276+L276+Q276+V276+AA276+AF276+AK276+AP276+AU276+AZ276))-(IF(AND('Your debts'!$F$6&lt;&gt;"",'Your debts'!$F$9&lt;&gt;"",'Your debts'!$F$6&lt;'Your debts'!$F$9),H276,0)+IF(AND('Your debts'!$F$7&lt;&gt;"",'Your debts'!$F$9&lt;&gt;"",'Your debts'!$F$7&lt;'Your debts'!$F$9),M276,0)+IF(AND('Your debts'!$F$8&lt;&gt;"",'Your debts'!$F$9&lt;&gt;"",'Your debts'!$F$8&lt;'Your debts'!$F$9),R276,0)+IF(AND('Your debts'!$F$10&lt;&gt;"",'Your debts'!$F$9&lt;&gt;"",'Your debts'!$F$10&lt;'Your debts'!$F$9),AB276,0)+IF(AND('Your debts'!$F$11&lt;&gt;"",'Your debts'!$F$9&lt;&gt;"",'Your debts'!$F$11&lt;'Your debts'!$F$9),AG276,0)+IF(AND('Your debts'!$F$12&lt;&gt;"",'Your debts'!$F$9&lt;&gt;"",'Your debts'!$F$12&lt;'Your debts'!$F$9),AL276,0)+IF(AND('Your debts'!$F$13&lt;&gt;"",'Your debts'!$F$9&lt;&gt;"",'Your debts'!$F$13&lt;'Your debts'!$F$9),AQ276,0)+IF(AND('Your debts'!$F$14&lt;&gt;"",'Your debts'!$F$9&lt;&gt;"",'Your debts'!$F$14&lt;'Your debts'!$F$9),AV276,0)+IF(AND('Your debts'!$F$15&lt;&gt;"",'Your debts'!$F$9&lt;&gt;"",'Your debts'!$F$15&lt;'Your debts'!$F$9),BA276,0)))))</f>
        <v/>
      </c>
      <c r="Y276" s="33">
        <f>W276-X276</f>
        <v/>
      </c>
      <c r="Z276" s="33">
        <f>IF(AD275&lt;=0,0,ROUND(AD275*(1+'Your debts'!$D$10/1200),2))</f>
        <v/>
      </c>
      <c r="AA276" s="33">
        <f>IF(Z276&lt;=0,0,MIN('Your debts'!$E$10,Z276))</f>
        <v/>
      </c>
      <c r="AB276" s="33">
        <f>Z276-AA276</f>
        <v/>
      </c>
      <c r="AC276" s="33">
        <f>IF('Your debts'!$F$10="",0,MIN(AB276,MAX(0,MAX(0,'Your debts'!$C$19-(G276+L276+Q276+V276+AA276+AF276+AK276+AP276+AU276+AZ276))-(IF(AND('Your debts'!$F$6&lt;&gt;"",'Your debts'!$F$10&lt;&gt;"",'Your debts'!$F$6&lt;'Your debts'!$F$10),H276,0)+IF(AND('Your debts'!$F$7&lt;&gt;"",'Your debts'!$F$10&lt;&gt;"",'Your debts'!$F$7&lt;'Your debts'!$F$10),M276,0)+IF(AND('Your debts'!$F$8&lt;&gt;"",'Your debts'!$F$10&lt;&gt;"",'Your debts'!$F$8&lt;'Your debts'!$F$10),R276,0)+IF(AND('Your debts'!$F$9&lt;&gt;"",'Your debts'!$F$10&lt;&gt;"",'Your debts'!$F$9&lt;'Your debts'!$F$10),W276,0)+IF(AND('Your debts'!$F$11&lt;&gt;"",'Your debts'!$F$10&lt;&gt;"",'Your debts'!$F$11&lt;'Your debts'!$F$10),AG276,0)+IF(AND('Your debts'!$F$12&lt;&gt;"",'Your debts'!$F$10&lt;&gt;"",'Your debts'!$F$12&lt;'Your debts'!$F$10),AL276,0)+IF(AND('Your debts'!$F$13&lt;&gt;"",'Your debts'!$F$10&lt;&gt;"",'Your debts'!$F$13&lt;'Your debts'!$F$10),AQ276,0)+IF(AND('Your debts'!$F$14&lt;&gt;"",'Your debts'!$F$10&lt;&gt;"",'Your debts'!$F$14&lt;'Your debts'!$F$10),AV276,0)+IF(AND('Your debts'!$F$15&lt;&gt;"",'Your debts'!$F$10&lt;&gt;"",'Your debts'!$F$15&lt;'Your debts'!$F$10),BA276,0)))))</f>
        <v/>
      </c>
      <c r="AD276" s="33">
        <f>AB276-AC276</f>
        <v/>
      </c>
      <c r="AE276" s="33">
        <f>IF(AI275&lt;=0,0,ROUND(AI275*(1+'Your debts'!$D$11/1200),2))</f>
        <v/>
      </c>
      <c r="AF276" s="33">
        <f>IF(AE276&lt;=0,0,MIN('Your debts'!$E$11,AE276))</f>
        <v/>
      </c>
      <c r="AG276" s="33">
        <f>AE276-AF276</f>
        <v/>
      </c>
      <c r="AH276" s="33">
        <f>IF('Your debts'!$F$11="",0,MIN(AG276,MAX(0,MAX(0,'Your debts'!$C$19-(G276+L276+Q276+V276+AA276+AF276+AK276+AP276+AU276+AZ276))-(IF(AND('Your debts'!$F$6&lt;&gt;"",'Your debts'!$F$11&lt;&gt;"",'Your debts'!$F$6&lt;'Your debts'!$F$11),H276,0)+IF(AND('Your debts'!$F$7&lt;&gt;"",'Your debts'!$F$11&lt;&gt;"",'Your debts'!$F$7&lt;'Your debts'!$F$11),M276,0)+IF(AND('Your debts'!$F$8&lt;&gt;"",'Your debts'!$F$11&lt;&gt;"",'Your debts'!$F$8&lt;'Your debts'!$F$11),R276,0)+IF(AND('Your debts'!$F$9&lt;&gt;"",'Your debts'!$F$11&lt;&gt;"",'Your debts'!$F$9&lt;'Your debts'!$F$11),W276,0)+IF(AND('Your debts'!$F$10&lt;&gt;"",'Your debts'!$F$11&lt;&gt;"",'Your debts'!$F$10&lt;'Your debts'!$F$11),AB276,0)+IF(AND('Your debts'!$F$12&lt;&gt;"",'Your debts'!$F$11&lt;&gt;"",'Your debts'!$F$12&lt;'Your debts'!$F$11),AL276,0)+IF(AND('Your debts'!$F$13&lt;&gt;"",'Your debts'!$F$11&lt;&gt;"",'Your debts'!$F$13&lt;'Your debts'!$F$11),AQ276,0)+IF(AND('Your debts'!$F$14&lt;&gt;"",'Your debts'!$F$11&lt;&gt;"",'Your debts'!$F$14&lt;'Your debts'!$F$11),AV276,0)+IF(AND('Your debts'!$F$15&lt;&gt;"",'Your debts'!$F$11&lt;&gt;"",'Your debts'!$F$15&lt;'Your debts'!$F$11),BA276,0)))))</f>
        <v/>
      </c>
      <c r="AI276" s="33">
        <f>AG276-AH276</f>
        <v/>
      </c>
      <c r="AJ276" s="33">
        <f>IF(AN275&lt;=0,0,ROUND(AN275*(1+'Your debts'!$D$12/1200),2))</f>
        <v/>
      </c>
      <c r="AK276" s="33">
        <f>IF(AJ276&lt;=0,0,MIN('Your debts'!$E$12,AJ276))</f>
        <v/>
      </c>
      <c r="AL276" s="33">
        <f>AJ276-AK276</f>
        <v/>
      </c>
      <c r="AM276" s="33">
        <f>IF('Your debts'!$F$12="",0,MIN(AL276,MAX(0,MAX(0,'Your debts'!$C$19-(G276+L276+Q276+V276+AA276+AF276+AK276+AP276+AU276+AZ276))-(IF(AND('Your debts'!$F$6&lt;&gt;"",'Your debts'!$F$12&lt;&gt;"",'Your debts'!$F$6&lt;'Your debts'!$F$12),H276,0)+IF(AND('Your debts'!$F$7&lt;&gt;"",'Your debts'!$F$12&lt;&gt;"",'Your debts'!$F$7&lt;'Your debts'!$F$12),M276,0)+IF(AND('Your debts'!$F$8&lt;&gt;"",'Your debts'!$F$12&lt;&gt;"",'Your debts'!$F$8&lt;'Your debts'!$F$12),R276,0)+IF(AND('Your debts'!$F$9&lt;&gt;"",'Your debts'!$F$12&lt;&gt;"",'Your debts'!$F$9&lt;'Your debts'!$F$12),W276,0)+IF(AND('Your debts'!$F$10&lt;&gt;"",'Your debts'!$F$12&lt;&gt;"",'Your debts'!$F$10&lt;'Your debts'!$F$12),AB276,0)+IF(AND('Your debts'!$F$11&lt;&gt;"",'Your debts'!$F$12&lt;&gt;"",'Your debts'!$F$11&lt;'Your debts'!$F$12),AG276,0)+IF(AND('Your debts'!$F$13&lt;&gt;"",'Your debts'!$F$12&lt;&gt;"",'Your debts'!$F$13&lt;'Your debts'!$F$12),AQ276,0)+IF(AND('Your debts'!$F$14&lt;&gt;"",'Your debts'!$F$12&lt;&gt;"",'Your debts'!$F$14&lt;'Your debts'!$F$12),AV276,0)+IF(AND('Your debts'!$F$15&lt;&gt;"",'Your debts'!$F$12&lt;&gt;"",'Your debts'!$F$15&lt;'Your debts'!$F$12),BA276,0)))))</f>
        <v/>
      </c>
      <c r="AN276" s="33">
        <f>AL276-AM276</f>
        <v/>
      </c>
      <c r="AO276" s="33">
        <f>IF(AS275&lt;=0,0,ROUND(AS275*(1+'Your debts'!$D$13/1200),2))</f>
        <v/>
      </c>
      <c r="AP276" s="33">
        <f>IF(AO276&lt;=0,0,MIN('Your debts'!$E$13,AO276))</f>
        <v/>
      </c>
      <c r="AQ276" s="33">
        <f>AO276-AP276</f>
        <v/>
      </c>
      <c r="AR276" s="33">
        <f>IF('Your debts'!$F$13="",0,MIN(AQ276,MAX(0,MAX(0,'Your debts'!$C$19-(G276+L276+Q276+V276+AA276+AF276+AK276+AP276+AU276+AZ276))-(IF(AND('Your debts'!$F$6&lt;&gt;"",'Your debts'!$F$13&lt;&gt;"",'Your debts'!$F$6&lt;'Your debts'!$F$13),H276,0)+IF(AND('Your debts'!$F$7&lt;&gt;"",'Your debts'!$F$13&lt;&gt;"",'Your debts'!$F$7&lt;'Your debts'!$F$13),M276,0)+IF(AND('Your debts'!$F$8&lt;&gt;"",'Your debts'!$F$13&lt;&gt;"",'Your debts'!$F$8&lt;'Your debts'!$F$13),R276,0)+IF(AND('Your debts'!$F$9&lt;&gt;"",'Your debts'!$F$13&lt;&gt;"",'Your debts'!$F$9&lt;'Your debts'!$F$13),W276,0)+IF(AND('Your debts'!$F$10&lt;&gt;"",'Your debts'!$F$13&lt;&gt;"",'Your debts'!$F$10&lt;'Your debts'!$F$13),AB276,0)+IF(AND('Your debts'!$F$11&lt;&gt;"",'Your debts'!$F$13&lt;&gt;"",'Your debts'!$F$11&lt;'Your debts'!$F$13),AG276,0)+IF(AND('Your debts'!$F$12&lt;&gt;"",'Your debts'!$F$13&lt;&gt;"",'Your debts'!$F$12&lt;'Your debts'!$F$13),AL276,0)+IF(AND('Your debts'!$F$14&lt;&gt;"",'Your debts'!$F$13&lt;&gt;"",'Your debts'!$F$14&lt;'Your debts'!$F$13),AV276,0)+IF(AND('Your debts'!$F$15&lt;&gt;"",'Your debts'!$F$13&lt;&gt;"",'Your debts'!$F$15&lt;'Your debts'!$F$13),BA276,0)))))</f>
        <v/>
      </c>
      <c r="AS276" s="33">
        <f>AQ276-AR276</f>
        <v/>
      </c>
      <c r="AT276" s="33">
        <f>IF(AX275&lt;=0,0,ROUND(AX275*(1+'Your debts'!$D$14/1200),2))</f>
        <v/>
      </c>
      <c r="AU276" s="33">
        <f>IF(AT276&lt;=0,0,MIN('Your debts'!$E$14,AT276))</f>
        <v/>
      </c>
      <c r="AV276" s="33">
        <f>AT276-AU276</f>
        <v/>
      </c>
      <c r="AW276" s="33">
        <f>IF('Your debts'!$F$14="",0,MIN(AV276,MAX(0,MAX(0,'Your debts'!$C$19-(G276+L276+Q276+V276+AA276+AF276+AK276+AP276+AU276+AZ276))-(IF(AND('Your debts'!$F$6&lt;&gt;"",'Your debts'!$F$14&lt;&gt;"",'Your debts'!$F$6&lt;'Your debts'!$F$14),H276,0)+IF(AND('Your debts'!$F$7&lt;&gt;"",'Your debts'!$F$14&lt;&gt;"",'Your debts'!$F$7&lt;'Your debts'!$F$14),M276,0)+IF(AND('Your debts'!$F$8&lt;&gt;"",'Your debts'!$F$14&lt;&gt;"",'Your debts'!$F$8&lt;'Your debts'!$F$14),R276,0)+IF(AND('Your debts'!$F$9&lt;&gt;"",'Your debts'!$F$14&lt;&gt;"",'Your debts'!$F$9&lt;'Your debts'!$F$14),W276,0)+IF(AND('Your debts'!$F$10&lt;&gt;"",'Your debts'!$F$14&lt;&gt;"",'Your debts'!$F$10&lt;'Your debts'!$F$14),AB276,0)+IF(AND('Your debts'!$F$11&lt;&gt;"",'Your debts'!$F$14&lt;&gt;"",'Your debts'!$F$11&lt;'Your debts'!$F$14),AG276,0)+IF(AND('Your debts'!$F$12&lt;&gt;"",'Your debts'!$F$14&lt;&gt;"",'Your debts'!$F$12&lt;'Your debts'!$F$14),AL276,0)+IF(AND('Your debts'!$F$13&lt;&gt;"",'Your debts'!$F$14&lt;&gt;"",'Your debts'!$F$13&lt;'Your debts'!$F$14),AQ276,0)+IF(AND('Your debts'!$F$15&lt;&gt;"",'Your debts'!$F$14&lt;&gt;"",'Your debts'!$F$15&lt;'Your debts'!$F$14),BA276,0)))))</f>
        <v/>
      </c>
      <c r="AX276" s="33">
        <f>AV276-AW276</f>
        <v/>
      </c>
      <c r="AY276" s="33">
        <f>IF(BC275&lt;=0,0,ROUND(BC275*(1+'Your debts'!$D$15/1200),2))</f>
        <v/>
      </c>
      <c r="AZ276" s="33">
        <f>IF(AY276&lt;=0,0,MIN('Your debts'!$E$15,AY276))</f>
        <v/>
      </c>
      <c r="BA276" s="33">
        <f>AY276-AZ276</f>
        <v/>
      </c>
      <c r="BB276" s="33">
        <f>IF('Your debts'!$F$15="",0,MIN(BA276,MAX(0,MAX(0,'Your debts'!$C$19-(G276+L276+Q276+V276+AA276+AF276+AK276+AP276+AU276+AZ276))-(IF(AND('Your debts'!$F$6&lt;&gt;"",'Your debts'!$F$15&lt;&gt;"",'Your debts'!$F$6&lt;'Your debts'!$F$15),H276,0)+IF(AND('Your debts'!$F$7&lt;&gt;"",'Your debts'!$F$15&lt;&gt;"",'Your debts'!$F$7&lt;'Your debts'!$F$15),M276,0)+IF(AND('Your debts'!$F$8&lt;&gt;"",'Your debts'!$F$15&lt;&gt;"",'Your debts'!$F$8&lt;'Your debts'!$F$15),R276,0)+IF(AND('Your debts'!$F$9&lt;&gt;"",'Your debts'!$F$15&lt;&gt;"",'Your debts'!$F$9&lt;'Your debts'!$F$15),W276,0)+IF(AND('Your debts'!$F$10&lt;&gt;"",'Your debts'!$F$15&lt;&gt;"",'Your debts'!$F$10&lt;'Your debts'!$F$15),AB276,0)+IF(AND('Your debts'!$F$11&lt;&gt;"",'Your debts'!$F$15&lt;&gt;"",'Your debts'!$F$11&lt;'Your debts'!$F$15),AG276,0)+IF(AND('Your debts'!$F$12&lt;&gt;"",'Your debts'!$F$15&lt;&gt;"",'Your debts'!$F$12&lt;'Your debts'!$F$15),AL276,0)+IF(AND('Your debts'!$F$13&lt;&gt;"",'Your debts'!$F$15&lt;&gt;"",'Your debts'!$F$13&lt;'Your debts'!$F$15),AQ276,0)+IF(AND('Your debts'!$F$14&lt;&gt;"",'Your debts'!$F$15&lt;&gt;"",'Your debts'!$F$14&lt;'Your debts'!$F$15),AV276,0)))))</f>
        <v/>
      </c>
      <c r="BC276" s="33">
        <f>BA276-BB276</f>
        <v/>
      </c>
    </row>
    <row r="277">
      <c r="A277" s="30" t="n">
        <v>262</v>
      </c>
      <c r="B277" s="31">
        <f>EDATE($B$15,262)</f>
        <v/>
      </c>
      <c r="C277" s="32">
        <f>IF(J276&lt;=0,0,F277-J276)+IF(O276&lt;=0,0,K277-O276)+IF(T276&lt;=0,0,P277-T276)+IF(Y276&lt;=0,0,U277-Y276)+IF(AD276&lt;=0,0,Z277-AD276)+IF(AI276&lt;=0,0,AE277-AI276)+IF(AN276&lt;=0,0,AJ277-AN276)+IF(AS276&lt;=0,0,AO277-AS276)+IF(AX276&lt;=0,0,AT277-AX276)+IF(BC276&lt;=0,0,AY277-BC276)</f>
        <v/>
      </c>
      <c r="D277" s="32">
        <f>G277+I277+L277+N277+Q277+S277+V277+X277+AA277+AC277+AF277+AH277+AK277+AM277+AP277+AR277+AU277+AW277+AZ277+BB277</f>
        <v/>
      </c>
      <c r="E277" s="32">
        <f>J277+O277+T277+Y277+AD277+AI277+AN277+AS277+AX277+BC277</f>
        <v/>
      </c>
      <c r="F277" s="33">
        <f>IF(J276&lt;=0,0,ROUND(J276*(1+'Your debts'!$D$6/1200),2))</f>
        <v/>
      </c>
      <c r="G277" s="33">
        <f>IF(F277&lt;=0,0,MIN('Your debts'!$E$6,F277))</f>
        <v/>
      </c>
      <c r="H277" s="33">
        <f>F277-G277</f>
        <v/>
      </c>
      <c r="I277" s="33">
        <f>IF('Your debts'!$F$6="",0,MIN(H277,MAX(0,MAX(0,'Your debts'!$C$19-(G277+L277+Q277+V277+AA277+AF277+AK277+AP277+AU277+AZ277))-(IF(AND('Your debts'!$F$7&lt;&gt;"",'Your debts'!$F$6&lt;&gt;"",'Your debts'!$F$7&lt;'Your debts'!$F$6),M277,0)+IF(AND('Your debts'!$F$8&lt;&gt;"",'Your debts'!$F$6&lt;&gt;"",'Your debts'!$F$8&lt;'Your debts'!$F$6),R277,0)+IF(AND('Your debts'!$F$9&lt;&gt;"",'Your debts'!$F$6&lt;&gt;"",'Your debts'!$F$9&lt;'Your debts'!$F$6),W277,0)+IF(AND('Your debts'!$F$10&lt;&gt;"",'Your debts'!$F$6&lt;&gt;"",'Your debts'!$F$10&lt;'Your debts'!$F$6),AB277,0)+IF(AND('Your debts'!$F$11&lt;&gt;"",'Your debts'!$F$6&lt;&gt;"",'Your debts'!$F$11&lt;'Your debts'!$F$6),AG277,0)+IF(AND('Your debts'!$F$12&lt;&gt;"",'Your debts'!$F$6&lt;&gt;"",'Your debts'!$F$12&lt;'Your debts'!$F$6),AL277,0)+IF(AND('Your debts'!$F$13&lt;&gt;"",'Your debts'!$F$6&lt;&gt;"",'Your debts'!$F$13&lt;'Your debts'!$F$6),AQ277,0)+IF(AND('Your debts'!$F$14&lt;&gt;"",'Your debts'!$F$6&lt;&gt;"",'Your debts'!$F$14&lt;'Your debts'!$F$6),AV277,0)+IF(AND('Your debts'!$F$15&lt;&gt;"",'Your debts'!$F$6&lt;&gt;"",'Your debts'!$F$15&lt;'Your debts'!$F$6),BA277,0)))))</f>
        <v/>
      </c>
      <c r="J277" s="33">
        <f>H277-I277</f>
        <v/>
      </c>
      <c r="K277" s="33">
        <f>IF(O276&lt;=0,0,ROUND(O276*(1+'Your debts'!$D$7/1200),2))</f>
        <v/>
      </c>
      <c r="L277" s="33">
        <f>IF(K277&lt;=0,0,MIN('Your debts'!$E$7,K277))</f>
        <v/>
      </c>
      <c r="M277" s="33">
        <f>K277-L277</f>
        <v/>
      </c>
      <c r="N277" s="33">
        <f>IF('Your debts'!$F$7="",0,MIN(M277,MAX(0,MAX(0,'Your debts'!$C$19-(G277+L277+Q277+V277+AA277+AF277+AK277+AP277+AU277+AZ277))-(IF(AND('Your debts'!$F$6&lt;&gt;"",'Your debts'!$F$7&lt;&gt;"",'Your debts'!$F$6&lt;'Your debts'!$F$7),H277,0)+IF(AND('Your debts'!$F$8&lt;&gt;"",'Your debts'!$F$7&lt;&gt;"",'Your debts'!$F$8&lt;'Your debts'!$F$7),R277,0)+IF(AND('Your debts'!$F$9&lt;&gt;"",'Your debts'!$F$7&lt;&gt;"",'Your debts'!$F$9&lt;'Your debts'!$F$7),W277,0)+IF(AND('Your debts'!$F$10&lt;&gt;"",'Your debts'!$F$7&lt;&gt;"",'Your debts'!$F$10&lt;'Your debts'!$F$7),AB277,0)+IF(AND('Your debts'!$F$11&lt;&gt;"",'Your debts'!$F$7&lt;&gt;"",'Your debts'!$F$11&lt;'Your debts'!$F$7),AG277,0)+IF(AND('Your debts'!$F$12&lt;&gt;"",'Your debts'!$F$7&lt;&gt;"",'Your debts'!$F$12&lt;'Your debts'!$F$7),AL277,0)+IF(AND('Your debts'!$F$13&lt;&gt;"",'Your debts'!$F$7&lt;&gt;"",'Your debts'!$F$13&lt;'Your debts'!$F$7),AQ277,0)+IF(AND('Your debts'!$F$14&lt;&gt;"",'Your debts'!$F$7&lt;&gt;"",'Your debts'!$F$14&lt;'Your debts'!$F$7),AV277,0)+IF(AND('Your debts'!$F$15&lt;&gt;"",'Your debts'!$F$7&lt;&gt;"",'Your debts'!$F$15&lt;'Your debts'!$F$7),BA277,0)))))</f>
        <v/>
      </c>
      <c r="O277" s="33">
        <f>M277-N277</f>
        <v/>
      </c>
      <c r="P277" s="33">
        <f>IF(T276&lt;=0,0,ROUND(T276*(1+'Your debts'!$D$8/1200),2))</f>
        <v/>
      </c>
      <c r="Q277" s="33">
        <f>IF(P277&lt;=0,0,MIN('Your debts'!$E$8,P277))</f>
        <v/>
      </c>
      <c r="R277" s="33">
        <f>P277-Q277</f>
        <v/>
      </c>
      <c r="S277" s="33">
        <f>IF('Your debts'!$F$8="",0,MIN(R277,MAX(0,MAX(0,'Your debts'!$C$19-(G277+L277+Q277+V277+AA277+AF277+AK277+AP277+AU277+AZ277))-(IF(AND('Your debts'!$F$6&lt;&gt;"",'Your debts'!$F$8&lt;&gt;"",'Your debts'!$F$6&lt;'Your debts'!$F$8),H277,0)+IF(AND('Your debts'!$F$7&lt;&gt;"",'Your debts'!$F$8&lt;&gt;"",'Your debts'!$F$7&lt;'Your debts'!$F$8),M277,0)+IF(AND('Your debts'!$F$9&lt;&gt;"",'Your debts'!$F$8&lt;&gt;"",'Your debts'!$F$9&lt;'Your debts'!$F$8),W277,0)+IF(AND('Your debts'!$F$10&lt;&gt;"",'Your debts'!$F$8&lt;&gt;"",'Your debts'!$F$10&lt;'Your debts'!$F$8),AB277,0)+IF(AND('Your debts'!$F$11&lt;&gt;"",'Your debts'!$F$8&lt;&gt;"",'Your debts'!$F$11&lt;'Your debts'!$F$8),AG277,0)+IF(AND('Your debts'!$F$12&lt;&gt;"",'Your debts'!$F$8&lt;&gt;"",'Your debts'!$F$12&lt;'Your debts'!$F$8),AL277,0)+IF(AND('Your debts'!$F$13&lt;&gt;"",'Your debts'!$F$8&lt;&gt;"",'Your debts'!$F$13&lt;'Your debts'!$F$8),AQ277,0)+IF(AND('Your debts'!$F$14&lt;&gt;"",'Your debts'!$F$8&lt;&gt;"",'Your debts'!$F$14&lt;'Your debts'!$F$8),AV277,0)+IF(AND('Your debts'!$F$15&lt;&gt;"",'Your debts'!$F$8&lt;&gt;"",'Your debts'!$F$15&lt;'Your debts'!$F$8),BA277,0)))))</f>
        <v/>
      </c>
      <c r="T277" s="33">
        <f>R277-S277</f>
        <v/>
      </c>
      <c r="U277" s="33">
        <f>IF(Y276&lt;=0,0,ROUND(Y276*(1+'Your debts'!$D$9/1200),2))</f>
        <v/>
      </c>
      <c r="V277" s="33">
        <f>IF(U277&lt;=0,0,MIN('Your debts'!$E$9,U277))</f>
        <v/>
      </c>
      <c r="W277" s="33">
        <f>U277-V277</f>
        <v/>
      </c>
      <c r="X277" s="33">
        <f>IF('Your debts'!$F$9="",0,MIN(W277,MAX(0,MAX(0,'Your debts'!$C$19-(G277+L277+Q277+V277+AA277+AF277+AK277+AP277+AU277+AZ277))-(IF(AND('Your debts'!$F$6&lt;&gt;"",'Your debts'!$F$9&lt;&gt;"",'Your debts'!$F$6&lt;'Your debts'!$F$9),H277,0)+IF(AND('Your debts'!$F$7&lt;&gt;"",'Your debts'!$F$9&lt;&gt;"",'Your debts'!$F$7&lt;'Your debts'!$F$9),M277,0)+IF(AND('Your debts'!$F$8&lt;&gt;"",'Your debts'!$F$9&lt;&gt;"",'Your debts'!$F$8&lt;'Your debts'!$F$9),R277,0)+IF(AND('Your debts'!$F$10&lt;&gt;"",'Your debts'!$F$9&lt;&gt;"",'Your debts'!$F$10&lt;'Your debts'!$F$9),AB277,0)+IF(AND('Your debts'!$F$11&lt;&gt;"",'Your debts'!$F$9&lt;&gt;"",'Your debts'!$F$11&lt;'Your debts'!$F$9),AG277,0)+IF(AND('Your debts'!$F$12&lt;&gt;"",'Your debts'!$F$9&lt;&gt;"",'Your debts'!$F$12&lt;'Your debts'!$F$9),AL277,0)+IF(AND('Your debts'!$F$13&lt;&gt;"",'Your debts'!$F$9&lt;&gt;"",'Your debts'!$F$13&lt;'Your debts'!$F$9),AQ277,0)+IF(AND('Your debts'!$F$14&lt;&gt;"",'Your debts'!$F$9&lt;&gt;"",'Your debts'!$F$14&lt;'Your debts'!$F$9),AV277,0)+IF(AND('Your debts'!$F$15&lt;&gt;"",'Your debts'!$F$9&lt;&gt;"",'Your debts'!$F$15&lt;'Your debts'!$F$9),BA277,0)))))</f>
        <v/>
      </c>
      <c r="Y277" s="33">
        <f>W277-X277</f>
        <v/>
      </c>
      <c r="Z277" s="33">
        <f>IF(AD276&lt;=0,0,ROUND(AD276*(1+'Your debts'!$D$10/1200),2))</f>
        <v/>
      </c>
      <c r="AA277" s="33">
        <f>IF(Z277&lt;=0,0,MIN('Your debts'!$E$10,Z277))</f>
        <v/>
      </c>
      <c r="AB277" s="33">
        <f>Z277-AA277</f>
        <v/>
      </c>
      <c r="AC277" s="33">
        <f>IF('Your debts'!$F$10="",0,MIN(AB277,MAX(0,MAX(0,'Your debts'!$C$19-(G277+L277+Q277+V277+AA277+AF277+AK277+AP277+AU277+AZ277))-(IF(AND('Your debts'!$F$6&lt;&gt;"",'Your debts'!$F$10&lt;&gt;"",'Your debts'!$F$6&lt;'Your debts'!$F$10),H277,0)+IF(AND('Your debts'!$F$7&lt;&gt;"",'Your debts'!$F$10&lt;&gt;"",'Your debts'!$F$7&lt;'Your debts'!$F$10),M277,0)+IF(AND('Your debts'!$F$8&lt;&gt;"",'Your debts'!$F$10&lt;&gt;"",'Your debts'!$F$8&lt;'Your debts'!$F$10),R277,0)+IF(AND('Your debts'!$F$9&lt;&gt;"",'Your debts'!$F$10&lt;&gt;"",'Your debts'!$F$9&lt;'Your debts'!$F$10),W277,0)+IF(AND('Your debts'!$F$11&lt;&gt;"",'Your debts'!$F$10&lt;&gt;"",'Your debts'!$F$11&lt;'Your debts'!$F$10),AG277,0)+IF(AND('Your debts'!$F$12&lt;&gt;"",'Your debts'!$F$10&lt;&gt;"",'Your debts'!$F$12&lt;'Your debts'!$F$10),AL277,0)+IF(AND('Your debts'!$F$13&lt;&gt;"",'Your debts'!$F$10&lt;&gt;"",'Your debts'!$F$13&lt;'Your debts'!$F$10),AQ277,0)+IF(AND('Your debts'!$F$14&lt;&gt;"",'Your debts'!$F$10&lt;&gt;"",'Your debts'!$F$14&lt;'Your debts'!$F$10),AV277,0)+IF(AND('Your debts'!$F$15&lt;&gt;"",'Your debts'!$F$10&lt;&gt;"",'Your debts'!$F$15&lt;'Your debts'!$F$10),BA277,0)))))</f>
        <v/>
      </c>
      <c r="AD277" s="33">
        <f>AB277-AC277</f>
        <v/>
      </c>
      <c r="AE277" s="33">
        <f>IF(AI276&lt;=0,0,ROUND(AI276*(1+'Your debts'!$D$11/1200),2))</f>
        <v/>
      </c>
      <c r="AF277" s="33">
        <f>IF(AE277&lt;=0,0,MIN('Your debts'!$E$11,AE277))</f>
        <v/>
      </c>
      <c r="AG277" s="33">
        <f>AE277-AF277</f>
        <v/>
      </c>
      <c r="AH277" s="33">
        <f>IF('Your debts'!$F$11="",0,MIN(AG277,MAX(0,MAX(0,'Your debts'!$C$19-(G277+L277+Q277+V277+AA277+AF277+AK277+AP277+AU277+AZ277))-(IF(AND('Your debts'!$F$6&lt;&gt;"",'Your debts'!$F$11&lt;&gt;"",'Your debts'!$F$6&lt;'Your debts'!$F$11),H277,0)+IF(AND('Your debts'!$F$7&lt;&gt;"",'Your debts'!$F$11&lt;&gt;"",'Your debts'!$F$7&lt;'Your debts'!$F$11),M277,0)+IF(AND('Your debts'!$F$8&lt;&gt;"",'Your debts'!$F$11&lt;&gt;"",'Your debts'!$F$8&lt;'Your debts'!$F$11),R277,0)+IF(AND('Your debts'!$F$9&lt;&gt;"",'Your debts'!$F$11&lt;&gt;"",'Your debts'!$F$9&lt;'Your debts'!$F$11),W277,0)+IF(AND('Your debts'!$F$10&lt;&gt;"",'Your debts'!$F$11&lt;&gt;"",'Your debts'!$F$10&lt;'Your debts'!$F$11),AB277,0)+IF(AND('Your debts'!$F$12&lt;&gt;"",'Your debts'!$F$11&lt;&gt;"",'Your debts'!$F$12&lt;'Your debts'!$F$11),AL277,0)+IF(AND('Your debts'!$F$13&lt;&gt;"",'Your debts'!$F$11&lt;&gt;"",'Your debts'!$F$13&lt;'Your debts'!$F$11),AQ277,0)+IF(AND('Your debts'!$F$14&lt;&gt;"",'Your debts'!$F$11&lt;&gt;"",'Your debts'!$F$14&lt;'Your debts'!$F$11),AV277,0)+IF(AND('Your debts'!$F$15&lt;&gt;"",'Your debts'!$F$11&lt;&gt;"",'Your debts'!$F$15&lt;'Your debts'!$F$11),BA277,0)))))</f>
        <v/>
      </c>
      <c r="AI277" s="33">
        <f>AG277-AH277</f>
        <v/>
      </c>
      <c r="AJ277" s="33">
        <f>IF(AN276&lt;=0,0,ROUND(AN276*(1+'Your debts'!$D$12/1200),2))</f>
        <v/>
      </c>
      <c r="AK277" s="33">
        <f>IF(AJ277&lt;=0,0,MIN('Your debts'!$E$12,AJ277))</f>
        <v/>
      </c>
      <c r="AL277" s="33">
        <f>AJ277-AK277</f>
        <v/>
      </c>
      <c r="AM277" s="33">
        <f>IF('Your debts'!$F$12="",0,MIN(AL277,MAX(0,MAX(0,'Your debts'!$C$19-(G277+L277+Q277+V277+AA277+AF277+AK277+AP277+AU277+AZ277))-(IF(AND('Your debts'!$F$6&lt;&gt;"",'Your debts'!$F$12&lt;&gt;"",'Your debts'!$F$6&lt;'Your debts'!$F$12),H277,0)+IF(AND('Your debts'!$F$7&lt;&gt;"",'Your debts'!$F$12&lt;&gt;"",'Your debts'!$F$7&lt;'Your debts'!$F$12),M277,0)+IF(AND('Your debts'!$F$8&lt;&gt;"",'Your debts'!$F$12&lt;&gt;"",'Your debts'!$F$8&lt;'Your debts'!$F$12),R277,0)+IF(AND('Your debts'!$F$9&lt;&gt;"",'Your debts'!$F$12&lt;&gt;"",'Your debts'!$F$9&lt;'Your debts'!$F$12),W277,0)+IF(AND('Your debts'!$F$10&lt;&gt;"",'Your debts'!$F$12&lt;&gt;"",'Your debts'!$F$10&lt;'Your debts'!$F$12),AB277,0)+IF(AND('Your debts'!$F$11&lt;&gt;"",'Your debts'!$F$12&lt;&gt;"",'Your debts'!$F$11&lt;'Your debts'!$F$12),AG277,0)+IF(AND('Your debts'!$F$13&lt;&gt;"",'Your debts'!$F$12&lt;&gt;"",'Your debts'!$F$13&lt;'Your debts'!$F$12),AQ277,0)+IF(AND('Your debts'!$F$14&lt;&gt;"",'Your debts'!$F$12&lt;&gt;"",'Your debts'!$F$14&lt;'Your debts'!$F$12),AV277,0)+IF(AND('Your debts'!$F$15&lt;&gt;"",'Your debts'!$F$12&lt;&gt;"",'Your debts'!$F$15&lt;'Your debts'!$F$12),BA277,0)))))</f>
        <v/>
      </c>
      <c r="AN277" s="33">
        <f>AL277-AM277</f>
        <v/>
      </c>
      <c r="AO277" s="33">
        <f>IF(AS276&lt;=0,0,ROUND(AS276*(1+'Your debts'!$D$13/1200),2))</f>
        <v/>
      </c>
      <c r="AP277" s="33">
        <f>IF(AO277&lt;=0,0,MIN('Your debts'!$E$13,AO277))</f>
        <v/>
      </c>
      <c r="AQ277" s="33">
        <f>AO277-AP277</f>
        <v/>
      </c>
      <c r="AR277" s="33">
        <f>IF('Your debts'!$F$13="",0,MIN(AQ277,MAX(0,MAX(0,'Your debts'!$C$19-(G277+L277+Q277+V277+AA277+AF277+AK277+AP277+AU277+AZ277))-(IF(AND('Your debts'!$F$6&lt;&gt;"",'Your debts'!$F$13&lt;&gt;"",'Your debts'!$F$6&lt;'Your debts'!$F$13),H277,0)+IF(AND('Your debts'!$F$7&lt;&gt;"",'Your debts'!$F$13&lt;&gt;"",'Your debts'!$F$7&lt;'Your debts'!$F$13),M277,0)+IF(AND('Your debts'!$F$8&lt;&gt;"",'Your debts'!$F$13&lt;&gt;"",'Your debts'!$F$8&lt;'Your debts'!$F$13),R277,0)+IF(AND('Your debts'!$F$9&lt;&gt;"",'Your debts'!$F$13&lt;&gt;"",'Your debts'!$F$9&lt;'Your debts'!$F$13),W277,0)+IF(AND('Your debts'!$F$10&lt;&gt;"",'Your debts'!$F$13&lt;&gt;"",'Your debts'!$F$10&lt;'Your debts'!$F$13),AB277,0)+IF(AND('Your debts'!$F$11&lt;&gt;"",'Your debts'!$F$13&lt;&gt;"",'Your debts'!$F$11&lt;'Your debts'!$F$13),AG277,0)+IF(AND('Your debts'!$F$12&lt;&gt;"",'Your debts'!$F$13&lt;&gt;"",'Your debts'!$F$12&lt;'Your debts'!$F$13),AL277,0)+IF(AND('Your debts'!$F$14&lt;&gt;"",'Your debts'!$F$13&lt;&gt;"",'Your debts'!$F$14&lt;'Your debts'!$F$13),AV277,0)+IF(AND('Your debts'!$F$15&lt;&gt;"",'Your debts'!$F$13&lt;&gt;"",'Your debts'!$F$15&lt;'Your debts'!$F$13),BA277,0)))))</f>
        <v/>
      </c>
      <c r="AS277" s="33">
        <f>AQ277-AR277</f>
        <v/>
      </c>
      <c r="AT277" s="33">
        <f>IF(AX276&lt;=0,0,ROUND(AX276*(1+'Your debts'!$D$14/1200),2))</f>
        <v/>
      </c>
      <c r="AU277" s="33">
        <f>IF(AT277&lt;=0,0,MIN('Your debts'!$E$14,AT277))</f>
        <v/>
      </c>
      <c r="AV277" s="33">
        <f>AT277-AU277</f>
        <v/>
      </c>
      <c r="AW277" s="33">
        <f>IF('Your debts'!$F$14="",0,MIN(AV277,MAX(0,MAX(0,'Your debts'!$C$19-(G277+L277+Q277+V277+AA277+AF277+AK277+AP277+AU277+AZ277))-(IF(AND('Your debts'!$F$6&lt;&gt;"",'Your debts'!$F$14&lt;&gt;"",'Your debts'!$F$6&lt;'Your debts'!$F$14),H277,0)+IF(AND('Your debts'!$F$7&lt;&gt;"",'Your debts'!$F$14&lt;&gt;"",'Your debts'!$F$7&lt;'Your debts'!$F$14),M277,0)+IF(AND('Your debts'!$F$8&lt;&gt;"",'Your debts'!$F$14&lt;&gt;"",'Your debts'!$F$8&lt;'Your debts'!$F$14),R277,0)+IF(AND('Your debts'!$F$9&lt;&gt;"",'Your debts'!$F$14&lt;&gt;"",'Your debts'!$F$9&lt;'Your debts'!$F$14),W277,0)+IF(AND('Your debts'!$F$10&lt;&gt;"",'Your debts'!$F$14&lt;&gt;"",'Your debts'!$F$10&lt;'Your debts'!$F$14),AB277,0)+IF(AND('Your debts'!$F$11&lt;&gt;"",'Your debts'!$F$14&lt;&gt;"",'Your debts'!$F$11&lt;'Your debts'!$F$14),AG277,0)+IF(AND('Your debts'!$F$12&lt;&gt;"",'Your debts'!$F$14&lt;&gt;"",'Your debts'!$F$12&lt;'Your debts'!$F$14),AL277,0)+IF(AND('Your debts'!$F$13&lt;&gt;"",'Your debts'!$F$14&lt;&gt;"",'Your debts'!$F$13&lt;'Your debts'!$F$14),AQ277,0)+IF(AND('Your debts'!$F$15&lt;&gt;"",'Your debts'!$F$14&lt;&gt;"",'Your debts'!$F$15&lt;'Your debts'!$F$14),BA277,0)))))</f>
        <v/>
      </c>
      <c r="AX277" s="33">
        <f>AV277-AW277</f>
        <v/>
      </c>
      <c r="AY277" s="33">
        <f>IF(BC276&lt;=0,0,ROUND(BC276*(1+'Your debts'!$D$15/1200),2))</f>
        <v/>
      </c>
      <c r="AZ277" s="33">
        <f>IF(AY277&lt;=0,0,MIN('Your debts'!$E$15,AY277))</f>
        <v/>
      </c>
      <c r="BA277" s="33">
        <f>AY277-AZ277</f>
        <v/>
      </c>
      <c r="BB277" s="33">
        <f>IF('Your debts'!$F$15="",0,MIN(BA277,MAX(0,MAX(0,'Your debts'!$C$19-(G277+L277+Q277+V277+AA277+AF277+AK277+AP277+AU277+AZ277))-(IF(AND('Your debts'!$F$6&lt;&gt;"",'Your debts'!$F$15&lt;&gt;"",'Your debts'!$F$6&lt;'Your debts'!$F$15),H277,0)+IF(AND('Your debts'!$F$7&lt;&gt;"",'Your debts'!$F$15&lt;&gt;"",'Your debts'!$F$7&lt;'Your debts'!$F$15),M277,0)+IF(AND('Your debts'!$F$8&lt;&gt;"",'Your debts'!$F$15&lt;&gt;"",'Your debts'!$F$8&lt;'Your debts'!$F$15),R277,0)+IF(AND('Your debts'!$F$9&lt;&gt;"",'Your debts'!$F$15&lt;&gt;"",'Your debts'!$F$9&lt;'Your debts'!$F$15),W277,0)+IF(AND('Your debts'!$F$10&lt;&gt;"",'Your debts'!$F$15&lt;&gt;"",'Your debts'!$F$10&lt;'Your debts'!$F$15),AB277,0)+IF(AND('Your debts'!$F$11&lt;&gt;"",'Your debts'!$F$15&lt;&gt;"",'Your debts'!$F$11&lt;'Your debts'!$F$15),AG277,0)+IF(AND('Your debts'!$F$12&lt;&gt;"",'Your debts'!$F$15&lt;&gt;"",'Your debts'!$F$12&lt;'Your debts'!$F$15),AL277,0)+IF(AND('Your debts'!$F$13&lt;&gt;"",'Your debts'!$F$15&lt;&gt;"",'Your debts'!$F$13&lt;'Your debts'!$F$15),AQ277,0)+IF(AND('Your debts'!$F$14&lt;&gt;"",'Your debts'!$F$15&lt;&gt;"",'Your debts'!$F$14&lt;'Your debts'!$F$15),AV277,0)))))</f>
        <v/>
      </c>
      <c r="BC277" s="33">
        <f>BA277-BB277</f>
        <v/>
      </c>
    </row>
    <row r="278">
      <c r="A278" s="30" t="n">
        <v>263</v>
      </c>
      <c r="B278" s="31">
        <f>EDATE($B$15,263)</f>
        <v/>
      </c>
      <c r="C278" s="32">
        <f>IF(J277&lt;=0,0,F278-J277)+IF(O277&lt;=0,0,K278-O277)+IF(T277&lt;=0,0,P278-T277)+IF(Y277&lt;=0,0,U278-Y277)+IF(AD277&lt;=0,0,Z278-AD277)+IF(AI277&lt;=0,0,AE278-AI277)+IF(AN277&lt;=0,0,AJ278-AN277)+IF(AS277&lt;=0,0,AO278-AS277)+IF(AX277&lt;=0,0,AT278-AX277)+IF(BC277&lt;=0,0,AY278-BC277)</f>
        <v/>
      </c>
      <c r="D278" s="32">
        <f>G278+I278+L278+N278+Q278+S278+V278+X278+AA278+AC278+AF278+AH278+AK278+AM278+AP278+AR278+AU278+AW278+AZ278+BB278</f>
        <v/>
      </c>
      <c r="E278" s="32">
        <f>J278+O278+T278+Y278+AD278+AI278+AN278+AS278+AX278+BC278</f>
        <v/>
      </c>
      <c r="F278" s="33">
        <f>IF(J277&lt;=0,0,ROUND(J277*(1+'Your debts'!$D$6/1200),2))</f>
        <v/>
      </c>
      <c r="G278" s="33">
        <f>IF(F278&lt;=0,0,MIN('Your debts'!$E$6,F278))</f>
        <v/>
      </c>
      <c r="H278" s="33">
        <f>F278-G278</f>
        <v/>
      </c>
      <c r="I278" s="33">
        <f>IF('Your debts'!$F$6="",0,MIN(H278,MAX(0,MAX(0,'Your debts'!$C$19-(G278+L278+Q278+V278+AA278+AF278+AK278+AP278+AU278+AZ278))-(IF(AND('Your debts'!$F$7&lt;&gt;"",'Your debts'!$F$6&lt;&gt;"",'Your debts'!$F$7&lt;'Your debts'!$F$6),M278,0)+IF(AND('Your debts'!$F$8&lt;&gt;"",'Your debts'!$F$6&lt;&gt;"",'Your debts'!$F$8&lt;'Your debts'!$F$6),R278,0)+IF(AND('Your debts'!$F$9&lt;&gt;"",'Your debts'!$F$6&lt;&gt;"",'Your debts'!$F$9&lt;'Your debts'!$F$6),W278,0)+IF(AND('Your debts'!$F$10&lt;&gt;"",'Your debts'!$F$6&lt;&gt;"",'Your debts'!$F$10&lt;'Your debts'!$F$6),AB278,0)+IF(AND('Your debts'!$F$11&lt;&gt;"",'Your debts'!$F$6&lt;&gt;"",'Your debts'!$F$11&lt;'Your debts'!$F$6),AG278,0)+IF(AND('Your debts'!$F$12&lt;&gt;"",'Your debts'!$F$6&lt;&gt;"",'Your debts'!$F$12&lt;'Your debts'!$F$6),AL278,0)+IF(AND('Your debts'!$F$13&lt;&gt;"",'Your debts'!$F$6&lt;&gt;"",'Your debts'!$F$13&lt;'Your debts'!$F$6),AQ278,0)+IF(AND('Your debts'!$F$14&lt;&gt;"",'Your debts'!$F$6&lt;&gt;"",'Your debts'!$F$14&lt;'Your debts'!$F$6),AV278,0)+IF(AND('Your debts'!$F$15&lt;&gt;"",'Your debts'!$F$6&lt;&gt;"",'Your debts'!$F$15&lt;'Your debts'!$F$6),BA278,0)))))</f>
        <v/>
      </c>
      <c r="J278" s="33">
        <f>H278-I278</f>
        <v/>
      </c>
      <c r="K278" s="33">
        <f>IF(O277&lt;=0,0,ROUND(O277*(1+'Your debts'!$D$7/1200),2))</f>
        <v/>
      </c>
      <c r="L278" s="33">
        <f>IF(K278&lt;=0,0,MIN('Your debts'!$E$7,K278))</f>
        <v/>
      </c>
      <c r="M278" s="33">
        <f>K278-L278</f>
        <v/>
      </c>
      <c r="N278" s="33">
        <f>IF('Your debts'!$F$7="",0,MIN(M278,MAX(0,MAX(0,'Your debts'!$C$19-(G278+L278+Q278+V278+AA278+AF278+AK278+AP278+AU278+AZ278))-(IF(AND('Your debts'!$F$6&lt;&gt;"",'Your debts'!$F$7&lt;&gt;"",'Your debts'!$F$6&lt;'Your debts'!$F$7),H278,0)+IF(AND('Your debts'!$F$8&lt;&gt;"",'Your debts'!$F$7&lt;&gt;"",'Your debts'!$F$8&lt;'Your debts'!$F$7),R278,0)+IF(AND('Your debts'!$F$9&lt;&gt;"",'Your debts'!$F$7&lt;&gt;"",'Your debts'!$F$9&lt;'Your debts'!$F$7),W278,0)+IF(AND('Your debts'!$F$10&lt;&gt;"",'Your debts'!$F$7&lt;&gt;"",'Your debts'!$F$10&lt;'Your debts'!$F$7),AB278,0)+IF(AND('Your debts'!$F$11&lt;&gt;"",'Your debts'!$F$7&lt;&gt;"",'Your debts'!$F$11&lt;'Your debts'!$F$7),AG278,0)+IF(AND('Your debts'!$F$12&lt;&gt;"",'Your debts'!$F$7&lt;&gt;"",'Your debts'!$F$12&lt;'Your debts'!$F$7),AL278,0)+IF(AND('Your debts'!$F$13&lt;&gt;"",'Your debts'!$F$7&lt;&gt;"",'Your debts'!$F$13&lt;'Your debts'!$F$7),AQ278,0)+IF(AND('Your debts'!$F$14&lt;&gt;"",'Your debts'!$F$7&lt;&gt;"",'Your debts'!$F$14&lt;'Your debts'!$F$7),AV278,0)+IF(AND('Your debts'!$F$15&lt;&gt;"",'Your debts'!$F$7&lt;&gt;"",'Your debts'!$F$15&lt;'Your debts'!$F$7),BA278,0)))))</f>
        <v/>
      </c>
      <c r="O278" s="33">
        <f>M278-N278</f>
        <v/>
      </c>
      <c r="P278" s="33">
        <f>IF(T277&lt;=0,0,ROUND(T277*(1+'Your debts'!$D$8/1200),2))</f>
        <v/>
      </c>
      <c r="Q278" s="33">
        <f>IF(P278&lt;=0,0,MIN('Your debts'!$E$8,P278))</f>
        <v/>
      </c>
      <c r="R278" s="33">
        <f>P278-Q278</f>
        <v/>
      </c>
      <c r="S278" s="33">
        <f>IF('Your debts'!$F$8="",0,MIN(R278,MAX(0,MAX(0,'Your debts'!$C$19-(G278+L278+Q278+V278+AA278+AF278+AK278+AP278+AU278+AZ278))-(IF(AND('Your debts'!$F$6&lt;&gt;"",'Your debts'!$F$8&lt;&gt;"",'Your debts'!$F$6&lt;'Your debts'!$F$8),H278,0)+IF(AND('Your debts'!$F$7&lt;&gt;"",'Your debts'!$F$8&lt;&gt;"",'Your debts'!$F$7&lt;'Your debts'!$F$8),M278,0)+IF(AND('Your debts'!$F$9&lt;&gt;"",'Your debts'!$F$8&lt;&gt;"",'Your debts'!$F$9&lt;'Your debts'!$F$8),W278,0)+IF(AND('Your debts'!$F$10&lt;&gt;"",'Your debts'!$F$8&lt;&gt;"",'Your debts'!$F$10&lt;'Your debts'!$F$8),AB278,0)+IF(AND('Your debts'!$F$11&lt;&gt;"",'Your debts'!$F$8&lt;&gt;"",'Your debts'!$F$11&lt;'Your debts'!$F$8),AG278,0)+IF(AND('Your debts'!$F$12&lt;&gt;"",'Your debts'!$F$8&lt;&gt;"",'Your debts'!$F$12&lt;'Your debts'!$F$8),AL278,0)+IF(AND('Your debts'!$F$13&lt;&gt;"",'Your debts'!$F$8&lt;&gt;"",'Your debts'!$F$13&lt;'Your debts'!$F$8),AQ278,0)+IF(AND('Your debts'!$F$14&lt;&gt;"",'Your debts'!$F$8&lt;&gt;"",'Your debts'!$F$14&lt;'Your debts'!$F$8),AV278,0)+IF(AND('Your debts'!$F$15&lt;&gt;"",'Your debts'!$F$8&lt;&gt;"",'Your debts'!$F$15&lt;'Your debts'!$F$8),BA278,0)))))</f>
        <v/>
      </c>
      <c r="T278" s="33">
        <f>R278-S278</f>
        <v/>
      </c>
      <c r="U278" s="33">
        <f>IF(Y277&lt;=0,0,ROUND(Y277*(1+'Your debts'!$D$9/1200),2))</f>
        <v/>
      </c>
      <c r="V278" s="33">
        <f>IF(U278&lt;=0,0,MIN('Your debts'!$E$9,U278))</f>
        <v/>
      </c>
      <c r="W278" s="33">
        <f>U278-V278</f>
        <v/>
      </c>
      <c r="X278" s="33">
        <f>IF('Your debts'!$F$9="",0,MIN(W278,MAX(0,MAX(0,'Your debts'!$C$19-(G278+L278+Q278+V278+AA278+AF278+AK278+AP278+AU278+AZ278))-(IF(AND('Your debts'!$F$6&lt;&gt;"",'Your debts'!$F$9&lt;&gt;"",'Your debts'!$F$6&lt;'Your debts'!$F$9),H278,0)+IF(AND('Your debts'!$F$7&lt;&gt;"",'Your debts'!$F$9&lt;&gt;"",'Your debts'!$F$7&lt;'Your debts'!$F$9),M278,0)+IF(AND('Your debts'!$F$8&lt;&gt;"",'Your debts'!$F$9&lt;&gt;"",'Your debts'!$F$8&lt;'Your debts'!$F$9),R278,0)+IF(AND('Your debts'!$F$10&lt;&gt;"",'Your debts'!$F$9&lt;&gt;"",'Your debts'!$F$10&lt;'Your debts'!$F$9),AB278,0)+IF(AND('Your debts'!$F$11&lt;&gt;"",'Your debts'!$F$9&lt;&gt;"",'Your debts'!$F$11&lt;'Your debts'!$F$9),AG278,0)+IF(AND('Your debts'!$F$12&lt;&gt;"",'Your debts'!$F$9&lt;&gt;"",'Your debts'!$F$12&lt;'Your debts'!$F$9),AL278,0)+IF(AND('Your debts'!$F$13&lt;&gt;"",'Your debts'!$F$9&lt;&gt;"",'Your debts'!$F$13&lt;'Your debts'!$F$9),AQ278,0)+IF(AND('Your debts'!$F$14&lt;&gt;"",'Your debts'!$F$9&lt;&gt;"",'Your debts'!$F$14&lt;'Your debts'!$F$9),AV278,0)+IF(AND('Your debts'!$F$15&lt;&gt;"",'Your debts'!$F$9&lt;&gt;"",'Your debts'!$F$15&lt;'Your debts'!$F$9),BA278,0)))))</f>
        <v/>
      </c>
      <c r="Y278" s="33">
        <f>W278-X278</f>
        <v/>
      </c>
      <c r="Z278" s="33">
        <f>IF(AD277&lt;=0,0,ROUND(AD277*(1+'Your debts'!$D$10/1200),2))</f>
        <v/>
      </c>
      <c r="AA278" s="33">
        <f>IF(Z278&lt;=0,0,MIN('Your debts'!$E$10,Z278))</f>
        <v/>
      </c>
      <c r="AB278" s="33">
        <f>Z278-AA278</f>
        <v/>
      </c>
      <c r="AC278" s="33">
        <f>IF('Your debts'!$F$10="",0,MIN(AB278,MAX(0,MAX(0,'Your debts'!$C$19-(G278+L278+Q278+V278+AA278+AF278+AK278+AP278+AU278+AZ278))-(IF(AND('Your debts'!$F$6&lt;&gt;"",'Your debts'!$F$10&lt;&gt;"",'Your debts'!$F$6&lt;'Your debts'!$F$10),H278,0)+IF(AND('Your debts'!$F$7&lt;&gt;"",'Your debts'!$F$10&lt;&gt;"",'Your debts'!$F$7&lt;'Your debts'!$F$10),M278,0)+IF(AND('Your debts'!$F$8&lt;&gt;"",'Your debts'!$F$10&lt;&gt;"",'Your debts'!$F$8&lt;'Your debts'!$F$10),R278,0)+IF(AND('Your debts'!$F$9&lt;&gt;"",'Your debts'!$F$10&lt;&gt;"",'Your debts'!$F$9&lt;'Your debts'!$F$10),W278,0)+IF(AND('Your debts'!$F$11&lt;&gt;"",'Your debts'!$F$10&lt;&gt;"",'Your debts'!$F$11&lt;'Your debts'!$F$10),AG278,0)+IF(AND('Your debts'!$F$12&lt;&gt;"",'Your debts'!$F$10&lt;&gt;"",'Your debts'!$F$12&lt;'Your debts'!$F$10),AL278,0)+IF(AND('Your debts'!$F$13&lt;&gt;"",'Your debts'!$F$10&lt;&gt;"",'Your debts'!$F$13&lt;'Your debts'!$F$10),AQ278,0)+IF(AND('Your debts'!$F$14&lt;&gt;"",'Your debts'!$F$10&lt;&gt;"",'Your debts'!$F$14&lt;'Your debts'!$F$10),AV278,0)+IF(AND('Your debts'!$F$15&lt;&gt;"",'Your debts'!$F$10&lt;&gt;"",'Your debts'!$F$15&lt;'Your debts'!$F$10),BA278,0)))))</f>
        <v/>
      </c>
      <c r="AD278" s="33">
        <f>AB278-AC278</f>
        <v/>
      </c>
      <c r="AE278" s="33">
        <f>IF(AI277&lt;=0,0,ROUND(AI277*(1+'Your debts'!$D$11/1200),2))</f>
        <v/>
      </c>
      <c r="AF278" s="33">
        <f>IF(AE278&lt;=0,0,MIN('Your debts'!$E$11,AE278))</f>
        <v/>
      </c>
      <c r="AG278" s="33">
        <f>AE278-AF278</f>
        <v/>
      </c>
      <c r="AH278" s="33">
        <f>IF('Your debts'!$F$11="",0,MIN(AG278,MAX(0,MAX(0,'Your debts'!$C$19-(G278+L278+Q278+V278+AA278+AF278+AK278+AP278+AU278+AZ278))-(IF(AND('Your debts'!$F$6&lt;&gt;"",'Your debts'!$F$11&lt;&gt;"",'Your debts'!$F$6&lt;'Your debts'!$F$11),H278,0)+IF(AND('Your debts'!$F$7&lt;&gt;"",'Your debts'!$F$11&lt;&gt;"",'Your debts'!$F$7&lt;'Your debts'!$F$11),M278,0)+IF(AND('Your debts'!$F$8&lt;&gt;"",'Your debts'!$F$11&lt;&gt;"",'Your debts'!$F$8&lt;'Your debts'!$F$11),R278,0)+IF(AND('Your debts'!$F$9&lt;&gt;"",'Your debts'!$F$11&lt;&gt;"",'Your debts'!$F$9&lt;'Your debts'!$F$11),W278,0)+IF(AND('Your debts'!$F$10&lt;&gt;"",'Your debts'!$F$11&lt;&gt;"",'Your debts'!$F$10&lt;'Your debts'!$F$11),AB278,0)+IF(AND('Your debts'!$F$12&lt;&gt;"",'Your debts'!$F$11&lt;&gt;"",'Your debts'!$F$12&lt;'Your debts'!$F$11),AL278,0)+IF(AND('Your debts'!$F$13&lt;&gt;"",'Your debts'!$F$11&lt;&gt;"",'Your debts'!$F$13&lt;'Your debts'!$F$11),AQ278,0)+IF(AND('Your debts'!$F$14&lt;&gt;"",'Your debts'!$F$11&lt;&gt;"",'Your debts'!$F$14&lt;'Your debts'!$F$11),AV278,0)+IF(AND('Your debts'!$F$15&lt;&gt;"",'Your debts'!$F$11&lt;&gt;"",'Your debts'!$F$15&lt;'Your debts'!$F$11),BA278,0)))))</f>
        <v/>
      </c>
      <c r="AI278" s="33">
        <f>AG278-AH278</f>
        <v/>
      </c>
      <c r="AJ278" s="33">
        <f>IF(AN277&lt;=0,0,ROUND(AN277*(1+'Your debts'!$D$12/1200),2))</f>
        <v/>
      </c>
      <c r="AK278" s="33">
        <f>IF(AJ278&lt;=0,0,MIN('Your debts'!$E$12,AJ278))</f>
        <v/>
      </c>
      <c r="AL278" s="33">
        <f>AJ278-AK278</f>
        <v/>
      </c>
      <c r="AM278" s="33">
        <f>IF('Your debts'!$F$12="",0,MIN(AL278,MAX(0,MAX(0,'Your debts'!$C$19-(G278+L278+Q278+V278+AA278+AF278+AK278+AP278+AU278+AZ278))-(IF(AND('Your debts'!$F$6&lt;&gt;"",'Your debts'!$F$12&lt;&gt;"",'Your debts'!$F$6&lt;'Your debts'!$F$12),H278,0)+IF(AND('Your debts'!$F$7&lt;&gt;"",'Your debts'!$F$12&lt;&gt;"",'Your debts'!$F$7&lt;'Your debts'!$F$12),M278,0)+IF(AND('Your debts'!$F$8&lt;&gt;"",'Your debts'!$F$12&lt;&gt;"",'Your debts'!$F$8&lt;'Your debts'!$F$12),R278,0)+IF(AND('Your debts'!$F$9&lt;&gt;"",'Your debts'!$F$12&lt;&gt;"",'Your debts'!$F$9&lt;'Your debts'!$F$12),W278,0)+IF(AND('Your debts'!$F$10&lt;&gt;"",'Your debts'!$F$12&lt;&gt;"",'Your debts'!$F$10&lt;'Your debts'!$F$12),AB278,0)+IF(AND('Your debts'!$F$11&lt;&gt;"",'Your debts'!$F$12&lt;&gt;"",'Your debts'!$F$11&lt;'Your debts'!$F$12),AG278,0)+IF(AND('Your debts'!$F$13&lt;&gt;"",'Your debts'!$F$12&lt;&gt;"",'Your debts'!$F$13&lt;'Your debts'!$F$12),AQ278,0)+IF(AND('Your debts'!$F$14&lt;&gt;"",'Your debts'!$F$12&lt;&gt;"",'Your debts'!$F$14&lt;'Your debts'!$F$12),AV278,0)+IF(AND('Your debts'!$F$15&lt;&gt;"",'Your debts'!$F$12&lt;&gt;"",'Your debts'!$F$15&lt;'Your debts'!$F$12),BA278,0)))))</f>
        <v/>
      </c>
      <c r="AN278" s="33">
        <f>AL278-AM278</f>
        <v/>
      </c>
      <c r="AO278" s="33">
        <f>IF(AS277&lt;=0,0,ROUND(AS277*(1+'Your debts'!$D$13/1200),2))</f>
        <v/>
      </c>
      <c r="AP278" s="33">
        <f>IF(AO278&lt;=0,0,MIN('Your debts'!$E$13,AO278))</f>
        <v/>
      </c>
      <c r="AQ278" s="33">
        <f>AO278-AP278</f>
        <v/>
      </c>
      <c r="AR278" s="33">
        <f>IF('Your debts'!$F$13="",0,MIN(AQ278,MAX(0,MAX(0,'Your debts'!$C$19-(G278+L278+Q278+V278+AA278+AF278+AK278+AP278+AU278+AZ278))-(IF(AND('Your debts'!$F$6&lt;&gt;"",'Your debts'!$F$13&lt;&gt;"",'Your debts'!$F$6&lt;'Your debts'!$F$13),H278,0)+IF(AND('Your debts'!$F$7&lt;&gt;"",'Your debts'!$F$13&lt;&gt;"",'Your debts'!$F$7&lt;'Your debts'!$F$13),M278,0)+IF(AND('Your debts'!$F$8&lt;&gt;"",'Your debts'!$F$13&lt;&gt;"",'Your debts'!$F$8&lt;'Your debts'!$F$13),R278,0)+IF(AND('Your debts'!$F$9&lt;&gt;"",'Your debts'!$F$13&lt;&gt;"",'Your debts'!$F$9&lt;'Your debts'!$F$13),W278,0)+IF(AND('Your debts'!$F$10&lt;&gt;"",'Your debts'!$F$13&lt;&gt;"",'Your debts'!$F$10&lt;'Your debts'!$F$13),AB278,0)+IF(AND('Your debts'!$F$11&lt;&gt;"",'Your debts'!$F$13&lt;&gt;"",'Your debts'!$F$11&lt;'Your debts'!$F$13),AG278,0)+IF(AND('Your debts'!$F$12&lt;&gt;"",'Your debts'!$F$13&lt;&gt;"",'Your debts'!$F$12&lt;'Your debts'!$F$13),AL278,0)+IF(AND('Your debts'!$F$14&lt;&gt;"",'Your debts'!$F$13&lt;&gt;"",'Your debts'!$F$14&lt;'Your debts'!$F$13),AV278,0)+IF(AND('Your debts'!$F$15&lt;&gt;"",'Your debts'!$F$13&lt;&gt;"",'Your debts'!$F$15&lt;'Your debts'!$F$13),BA278,0)))))</f>
        <v/>
      </c>
      <c r="AS278" s="33">
        <f>AQ278-AR278</f>
        <v/>
      </c>
      <c r="AT278" s="33">
        <f>IF(AX277&lt;=0,0,ROUND(AX277*(1+'Your debts'!$D$14/1200),2))</f>
        <v/>
      </c>
      <c r="AU278" s="33">
        <f>IF(AT278&lt;=0,0,MIN('Your debts'!$E$14,AT278))</f>
        <v/>
      </c>
      <c r="AV278" s="33">
        <f>AT278-AU278</f>
        <v/>
      </c>
      <c r="AW278" s="33">
        <f>IF('Your debts'!$F$14="",0,MIN(AV278,MAX(0,MAX(0,'Your debts'!$C$19-(G278+L278+Q278+V278+AA278+AF278+AK278+AP278+AU278+AZ278))-(IF(AND('Your debts'!$F$6&lt;&gt;"",'Your debts'!$F$14&lt;&gt;"",'Your debts'!$F$6&lt;'Your debts'!$F$14),H278,0)+IF(AND('Your debts'!$F$7&lt;&gt;"",'Your debts'!$F$14&lt;&gt;"",'Your debts'!$F$7&lt;'Your debts'!$F$14),M278,0)+IF(AND('Your debts'!$F$8&lt;&gt;"",'Your debts'!$F$14&lt;&gt;"",'Your debts'!$F$8&lt;'Your debts'!$F$14),R278,0)+IF(AND('Your debts'!$F$9&lt;&gt;"",'Your debts'!$F$14&lt;&gt;"",'Your debts'!$F$9&lt;'Your debts'!$F$14),W278,0)+IF(AND('Your debts'!$F$10&lt;&gt;"",'Your debts'!$F$14&lt;&gt;"",'Your debts'!$F$10&lt;'Your debts'!$F$14),AB278,0)+IF(AND('Your debts'!$F$11&lt;&gt;"",'Your debts'!$F$14&lt;&gt;"",'Your debts'!$F$11&lt;'Your debts'!$F$14),AG278,0)+IF(AND('Your debts'!$F$12&lt;&gt;"",'Your debts'!$F$14&lt;&gt;"",'Your debts'!$F$12&lt;'Your debts'!$F$14),AL278,0)+IF(AND('Your debts'!$F$13&lt;&gt;"",'Your debts'!$F$14&lt;&gt;"",'Your debts'!$F$13&lt;'Your debts'!$F$14),AQ278,0)+IF(AND('Your debts'!$F$15&lt;&gt;"",'Your debts'!$F$14&lt;&gt;"",'Your debts'!$F$15&lt;'Your debts'!$F$14),BA278,0)))))</f>
        <v/>
      </c>
      <c r="AX278" s="33">
        <f>AV278-AW278</f>
        <v/>
      </c>
      <c r="AY278" s="33">
        <f>IF(BC277&lt;=0,0,ROUND(BC277*(1+'Your debts'!$D$15/1200),2))</f>
        <v/>
      </c>
      <c r="AZ278" s="33">
        <f>IF(AY278&lt;=0,0,MIN('Your debts'!$E$15,AY278))</f>
        <v/>
      </c>
      <c r="BA278" s="33">
        <f>AY278-AZ278</f>
        <v/>
      </c>
      <c r="BB278" s="33">
        <f>IF('Your debts'!$F$15="",0,MIN(BA278,MAX(0,MAX(0,'Your debts'!$C$19-(G278+L278+Q278+V278+AA278+AF278+AK278+AP278+AU278+AZ278))-(IF(AND('Your debts'!$F$6&lt;&gt;"",'Your debts'!$F$15&lt;&gt;"",'Your debts'!$F$6&lt;'Your debts'!$F$15),H278,0)+IF(AND('Your debts'!$F$7&lt;&gt;"",'Your debts'!$F$15&lt;&gt;"",'Your debts'!$F$7&lt;'Your debts'!$F$15),M278,0)+IF(AND('Your debts'!$F$8&lt;&gt;"",'Your debts'!$F$15&lt;&gt;"",'Your debts'!$F$8&lt;'Your debts'!$F$15),R278,0)+IF(AND('Your debts'!$F$9&lt;&gt;"",'Your debts'!$F$15&lt;&gt;"",'Your debts'!$F$9&lt;'Your debts'!$F$15),W278,0)+IF(AND('Your debts'!$F$10&lt;&gt;"",'Your debts'!$F$15&lt;&gt;"",'Your debts'!$F$10&lt;'Your debts'!$F$15),AB278,0)+IF(AND('Your debts'!$F$11&lt;&gt;"",'Your debts'!$F$15&lt;&gt;"",'Your debts'!$F$11&lt;'Your debts'!$F$15),AG278,0)+IF(AND('Your debts'!$F$12&lt;&gt;"",'Your debts'!$F$15&lt;&gt;"",'Your debts'!$F$12&lt;'Your debts'!$F$15),AL278,0)+IF(AND('Your debts'!$F$13&lt;&gt;"",'Your debts'!$F$15&lt;&gt;"",'Your debts'!$F$13&lt;'Your debts'!$F$15),AQ278,0)+IF(AND('Your debts'!$F$14&lt;&gt;"",'Your debts'!$F$15&lt;&gt;"",'Your debts'!$F$14&lt;'Your debts'!$F$15),AV278,0)))))</f>
        <v/>
      </c>
      <c r="BC278" s="33">
        <f>BA278-BB278</f>
        <v/>
      </c>
    </row>
    <row r="279">
      <c r="A279" s="30" t="n">
        <v>264</v>
      </c>
      <c r="B279" s="31">
        <f>EDATE($B$15,264)</f>
        <v/>
      </c>
      <c r="C279" s="32">
        <f>IF(J278&lt;=0,0,F279-J278)+IF(O278&lt;=0,0,K279-O278)+IF(T278&lt;=0,0,P279-T278)+IF(Y278&lt;=0,0,U279-Y278)+IF(AD278&lt;=0,0,Z279-AD278)+IF(AI278&lt;=0,0,AE279-AI278)+IF(AN278&lt;=0,0,AJ279-AN278)+IF(AS278&lt;=0,0,AO279-AS278)+IF(AX278&lt;=0,0,AT279-AX278)+IF(BC278&lt;=0,0,AY279-BC278)</f>
        <v/>
      </c>
      <c r="D279" s="32">
        <f>G279+I279+L279+N279+Q279+S279+V279+X279+AA279+AC279+AF279+AH279+AK279+AM279+AP279+AR279+AU279+AW279+AZ279+BB279</f>
        <v/>
      </c>
      <c r="E279" s="32">
        <f>J279+O279+T279+Y279+AD279+AI279+AN279+AS279+AX279+BC279</f>
        <v/>
      </c>
      <c r="F279" s="33">
        <f>IF(J278&lt;=0,0,ROUND(J278*(1+'Your debts'!$D$6/1200),2))</f>
        <v/>
      </c>
      <c r="G279" s="33">
        <f>IF(F279&lt;=0,0,MIN('Your debts'!$E$6,F279))</f>
        <v/>
      </c>
      <c r="H279" s="33">
        <f>F279-G279</f>
        <v/>
      </c>
      <c r="I279" s="33">
        <f>IF('Your debts'!$F$6="",0,MIN(H279,MAX(0,MAX(0,'Your debts'!$C$19-(G279+L279+Q279+V279+AA279+AF279+AK279+AP279+AU279+AZ279))-(IF(AND('Your debts'!$F$7&lt;&gt;"",'Your debts'!$F$6&lt;&gt;"",'Your debts'!$F$7&lt;'Your debts'!$F$6),M279,0)+IF(AND('Your debts'!$F$8&lt;&gt;"",'Your debts'!$F$6&lt;&gt;"",'Your debts'!$F$8&lt;'Your debts'!$F$6),R279,0)+IF(AND('Your debts'!$F$9&lt;&gt;"",'Your debts'!$F$6&lt;&gt;"",'Your debts'!$F$9&lt;'Your debts'!$F$6),W279,0)+IF(AND('Your debts'!$F$10&lt;&gt;"",'Your debts'!$F$6&lt;&gt;"",'Your debts'!$F$10&lt;'Your debts'!$F$6),AB279,0)+IF(AND('Your debts'!$F$11&lt;&gt;"",'Your debts'!$F$6&lt;&gt;"",'Your debts'!$F$11&lt;'Your debts'!$F$6),AG279,0)+IF(AND('Your debts'!$F$12&lt;&gt;"",'Your debts'!$F$6&lt;&gt;"",'Your debts'!$F$12&lt;'Your debts'!$F$6),AL279,0)+IF(AND('Your debts'!$F$13&lt;&gt;"",'Your debts'!$F$6&lt;&gt;"",'Your debts'!$F$13&lt;'Your debts'!$F$6),AQ279,0)+IF(AND('Your debts'!$F$14&lt;&gt;"",'Your debts'!$F$6&lt;&gt;"",'Your debts'!$F$14&lt;'Your debts'!$F$6),AV279,0)+IF(AND('Your debts'!$F$15&lt;&gt;"",'Your debts'!$F$6&lt;&gt;"",'Your debts'!$F$15&lt;'Your debts'!$F$6),BA279,0)))))</f>
        <v/>
      </c>
      <c r="J279" s="33">
        <f>H279-I279</f>
        <v/>
      </c>
      <c r="K279" s="33">
        <f>IF(O278&lt;=0,0,ROUND(O278*(1+'Your debts'!$D$7/1200),2))</f>
        <v/>
      </c>
      <c r="L279" s="33">
        <f>IF(K279&lt;=0,0,MIN('Your debts'!$E$7,K279))</f>
        <v/>
      </c>
      <c r="M279" s="33">
        <f>K279-L279</f>
        <v/>
      </c>
      <c r="N279" s="33">
        <f>IF('Your debts'!$F$7="",0,MIN(M279,MAX(0,MAX(0,'Your debts'!$C$19-(G279+L279+Q279+V279+AA279+AF279+AK279+AP279+AU279+AZ279))-(IF(AND('Your debts'!$F$6&lt;&gt;"",'Your debts'!$F$7&lt;&gt;"",'Your debts'!$F$6&lt;'Your debts'!$F$7),H279,0)+IF(AND('Your debts'!$F$8&lt;&gt;"",'Your debts'!$F$7&lt;&gt;"",'Your debts'!$F$8&lt;'Your debts'!$F$7),R279,0)+IF(AND('Your debts'!$F$9&lt;&gt;"",'Your debts'!$F$7&lt;&gt;"",'Your debts'!$F$9&lt;'Your debts'!$F$7),W279,0)+IF(AND('Your debts'!$F$10&lt;&gt;"",'Your debts'!$F$7&lt;&gt;"",'Your debts'!$F$10&lt;'Your debts'!$F$7),AB279,0)+IF(AND('Your debts'!$F$11&lt;&gt;"",'Your debts'!$F$7&lt;&gt;"",'Your debts'!$F$11&lt;'Your debts'!$F$7),AG279,0)+IF(AND('Your debts'!$F$12&lt;&gt;"",'Your debts'!$F$7&lt;&gt;"",'Your debts'!$F$12&lt;'Your debts'!$F$7),AL279,0)+IF(AND('Your debts'!$F$13&lt;&gt;"",'Your debts'!$F$7&lt;&gt;"",'Your debts'!$F$13&lt;'Your debts'!$F$7),AQ279,0)+IF(AND('Your debts'!$F$14&lt;&gt;"",'Your debts'!$F$7&lt;&gt;"",'Your debts'!$F$14&lt;'Your debts'!$F$7),AV279,0)+IF(AND('Your debts'!$F$15&lt;&gt;"",'Your debts'!$F$7&lt;&gt;"",'Your debts'!$F$15&lt;'Your debts'!$F$7),BA279,0)))))</f>
        <v/>
      </c>
      <c r="O279" s="33">
        <f>M279-N279</f>
        <v/>
      </c>
      <c r="P279" s="33">
        <f>IF(T278&lt;=0,0,ROUND(T278*(1+'Your debts'!$D$8/1200),2))</f>
        <v/>
      </c>
      <c r="Q279" s="33">
        <f>IF(P279&lt;=0,0,MIN('Your debts'!$E$8,P279))</f>
        <v/>
      </c>
      <c r="R279" s="33">
        <f>P279-Q279</f>
        <v/>
      </c>
      <c r="S279" s="33">
        <f>IF('Your debts'!$F$8="",0,MIN(R279,MAX(0,MAX(0,'Your debts'!$C$19-(G279+L279+Q279+V279+AA279+AF279+AK279+AP279+AU279+AZ279))-(IF(AND('Your debts'!$F$6&lt;&gt;"",'Your debts'!$F$8&lt;&gt;"",'Your debts'!$F$6&lt;'Your debts'!$F$8),H279,0)+IF(AND('Your debts'!$F$7&lt;&gt;"",'Your debts'!$F$8&lt;&gt;"",'Your debts'!$F$7&lt;'Your debts'!$F$8),M279,0)+IF(AND('Your debts'!$F$9&lt;&gt;"",'Your debts'!$F$8&lt;&gt;"",'Your debts'!$F$9&lt;'Your debts'!$F$8),W279,0)+IF(AND('Your debts'!$F$10&lt;&gt;"",'Your debts'!$F$8&lt;&gt;"",'Your debts'!$F$10&lt;'Your debts'!$F$8),AB279,0)+IF(AND('Your debts'!$F$11&lt;&gt;"",'Your debts'!$F$8&lt;&gt;"",'Your debts'!$F$11&lt;'Your debts'!$F$8),AG279,0)+IF(AND('Your debts'!$F$12&lt;&gt;"",'Your debts'!$F$8&lt;&gt;"",'Your debts'!$F$12&lt;'Your debts'!$F$8),AL279,0)+IF(AND('Your debts'!$F$13&lt;&gt;"",'Your debts'!$F$8&lt;&gt;"",'Your debts'!$F$13&lt;'Your debts'!$F$8),AQ279,0)+IF(AND('Your debts'!$F$14&lt;&gt;"",'Your debts'!$F$8&lt;&gt;"",'Your debts'!$F$14&lt;'Your debts'!$F$8),AV279,0)+IF(AND('Your debts'!$F$15&lt;&gt;"",'Your debts'!$F$8&lt;&gt;"",'Your debts'!$F$15&lt;'Your debts'!$F$8),BA279,0)))))</f>
        <v/>
      </c>
      <c r="T279" s="33">
        <f>R279-S279</f>
        <v/>
      </c>
      <c r="U279" s="33">
        <f>IF(Y278&lt;=0,0,ROUND(Y278*(1+'Your debts'!$D$9/1200),2))</f>
        <v/>
      </c>
      <c r="V279" s="33">
        <f>IF(U279&lt;=0,0,MIN('Your debts'!$E$9,U279))</f>
        <v/>
      </c>
      <c r="W279" s="33">
        <f>U279-V279</f>
        <v/>
      </c>
      <c r="X279" s="33">
        <f>IF('Your debts'!$F$9="",0,MIN(W279,MAX(0,MAX(0,'Your debts'!$C$19-(G279+L279+Q279+V279+AA279+AF279+AK279+AP279+AU279+AZ279))-(IF(AND('Your debts'!$F$6&lt;&gt;"",'Your debts'!$F$9&lt;&gt;"",'Your debts'!$F$6&lt;'Your debts'!$F$9),H279,0)+IF(AND('Your debts'!$F$7&lt;&gt;"",'Your debts'!$F$9&lt;&gt;"",'Your debts'!$F$7&lt;'Your debts'!$F$9),M279,0)+IF(AND('Your debts'!$F$8&lt;&gt;"",'Your debts'!$F$9&lt;&gt;"",'Your debts'!$F$8&lt;'Your debts'!$F$9),R279,0)+IF(AND('Your debts'!$F$10&lt;&gt;"",'Your debts'!$F$9&lt;&gt;"",'Your debts'!$F$10&lt;'Your debts'!$F$9),AB279,0)+IF(AND('Your debts'!$F$11&lt;&gt;"",'Your debts'!$F$9&lt;&gt;"",'Your debts'!$F$11&lt;'Your debts'!$F$9),AG279,0)+IF(AND('Your debts'!$F$12&lt;&gt;"",'Your debts'!$F$9&lt;&gt;"",'Your debts'!$F$12&lt;'Your debts'!$F$9),AL279,0)+IF(AND('Your debts'!$F$13&lt;&gt;"",'Your debts'!$F$9&lt;&gt;"",'Your debts'!$F$13&lt;'Your debts'!$F$9),AQ279,0)+IF(AND('Your debts'!$F$14&lt;&gt;"",'Your debts'!$F$9&lt;&gt;"",'Your debts'!$F$14&lt;'Your debts'!$F$9),AV279,0)+IF(AND('Your debts'!$F$15&lt;&gt;"",'Your debts'!$F$9&lt;&gt;"",'Your debts'!$F$15&lt;'Your debts'!$F$9),BA279,0)))))</f>
        <v/>
      </c>
      <c r="Y279" s="33">
        <f>W279-X279</f>
        <v/>
      </c>
      <c r="Z279" s="33">
        <f>IF(AD278&lt;=0,0,ROUND(AD278*(1+'Your debts'!$D$10/1200),2))</f>
        <v/>
      </c>
      <c r="AA279" s="33">
        <f>IF(Z279&lt;=0,0,MIN('Your debts'!$E$10,Z279))</f>
        <v/>
      </c>
      <c r="AB279" s="33">
        <f>Z279-AA279</f>
        <v/>
      </c>
      <c r="AC279" s="33">
        <f>IF('Your debts'!$F$10="",0,MIN(AB279,MAX(0,MAX(0,'Your debts'!$C$19-(G279+L279+Q279+V279+AA279+AF279+AK279+AP279+AU279+AZ279))-(IF(AND('Your debts'!$F$6&lt;&gt;"",'Your debts'!$F$10&lt;&gt;"",'Your debts'!$F$6&lt;'Your debts'!$F$10),H279,0)+IF(AND('Your debts'!$F$7&lt;&gt;"",'Your debts'!$F$10&lt;&gt;"",'Your debts'!$F$7&lt;'Your debts'!$F$10),M279,0)+IF(AND('Your debts'!$F$8&lt;&gt;"",'Your debts'!$F$10&lt;&gt;"",'Your debts'!$F$8&lt;'Your debts'!$F$10),R279,0)+IF(AND('Your debts'!$F$9&lt;&gt;"",'Your debts'!$F$10&lt;&gt;"",'Your debts'!$F$9&lt;'Your debts'!$F$10),W279,0)+IF(AND('Your debts'!$F$11&lt;&gt;"",'Your debts'!$F$10&lt;&gt;"",'Your debts'!$F$11&lt;'Your debts'!$F$10),AG279,0)+IF(AND('Your debts'!$F$12&lt;&gt;"",'Your debts'!$F$10&lt;&gt;"",'Your debts'!$F$12&lt;'Your debts'!$F$10),AL279,0)+IF(AND('Your debts'!$F$13&lt;&gt;"",'Your debts'!$F$10&lt;&gt;"",'Your debts'!$F$13&lt;'Your debts'!$F$10),AQ279,0)+IF(AND('Your debts'!$F$14&lt;&gt;"",'Your debts'!$F$10&lt;&gt;"",'Your debts'!$F$14&lt;'Your debts'!$F$10),AV279,0)+IF(AND('Your debts'!$F$15&lt;&gt;"",'Your debts'!$F$10&lt;&gt;"",'Your debts'!$F$15&lt;'Your debts'!$F$10),BA279,0)))))</f>
        <v/>
      </c>
      <c r="AD279" s="33">
        <f>AB279-AC279</f>
        <v/>
      </c>
      <c r="AE279" s="33">
        <f>IF(AI278&lt;=0,0,ROUND(AI278*(1+'Your debts'!$D$11/1200),2))</f>
        <v/>
      </c>
      <c r="AF279" s="33">
        <f>IF(AE279&lt;=0,0,MIN('Your debts'!$E$11,AE279))</f>
        <v/>
      </c>
      <c r="AG279" s="33">
        <f>AE279-AF279</f>
        <v/>
      </c>
      <c r="AH279" s="33">
        <f>IF('Your debts'!$F$11="",0,MIN(AG279,MAX(0,MAX(0,'Your debts'!$C$19-(G279+L279+Q279+V279+AA279+AF279+AK279+AP279+AU279+AZ279))-(IF(AND('Your debts'!$F$6&lt;&gt;"",'Your debts'!$F$11&lt;&gt;"",'Your debts'!$F$6&lt;'Your debts'!$F$11),H279,0)+IF(AND('Your debts'!$F$7&lt;&gt;"",'Your debts'!$F$11&lt;&gt;"",'Your debts'!$F$7&lt;'Your debts'!$F$11),M279,0)+IF(AND('Your debts'!$F$8&lt;&gt;"",'Your debts'!$F$11&lt;&gt;"",'Your debts'!$F$8&lt;'Your debts'!$F$11),R279,0)+IF(AND('Your debts'!$F$9&lt;&gt;"",'Your debts'!$F$11&lt;&gt;"",'Your debts'!$F$9&lt;'Your debts'!$F$11),W279,0)+IF(AND('Your debts'!$F$10&lt;&gt;"",'Your debts'!$F$11&lt;&gt;"",'Your debts'!$F$10&lt;'Your debts'!$F$11),AB279,0)+IF(AND('Your debts'!$F$12&lt;&gt;"",'Your debts'!$F$11&lt;&gt;"",'Your debts'!$F$12&lt;'Your debts'!$F$11),AL279,0)+IF(AND('Your debts'!$F$13&lt;&gt;"",'Your debts'!$F$11&lt;&gt;"",'Your debts'!$F$13&lt;'Your debts'!$F$11),AQ279,0)+IF(AND('Your debts'!$F$14&lt;&gt;"",'Your debts'!$F$11&lt;&gt;"",'Your debts'!$F$14&lt;'Your debts'!$F$11),AV279,0)+IF(AND('Your debts'!$F$15&lt;&gt;"",'Your debts'!$F$11&lt;&gt;"",'Your debts'!$F$15&lt;'Your debts'!$F$11),BA279,0)))))</f>
        <v/>
      </c>
      <c r="AI279" s="33">
        <f>AG279-AH279</f>
        <v/>
      </c>
      <c r="AJ279" s="33">
        <f>IF(AN278&lt;=0,0,ROUND(AN278*(1+'Your debts'!$D$12/1200),2))</f>
        <v/>
      </c>
      <c r="AK279" s="33">
        <f>IF(AJ279&lt;=0,0,MIN('Your debts'!$E$12,AJ279))</f>
        <v/>
      </c>
      <c r="AL279" s="33">
        <f>AJ279-AK279</f>
        <v/>
      </c>
      <c r="AM279" s="33">
        <f>IF('Your debts'!$F$12="",0,MIN(AL279,MAX(0,MAX(0,'Your debts'!$C$19-(G279+L279+Q279+V279+AA279+AF279+AK279+AP279+AU279+AZ279))-(IF(AND('Your debts'!$F$6&lt;&gt;"",'Your debts'!$F$12&lt;&gt;"",'Your debts'!$F$6&lt;'Your debts'!$F$12),H279,0)+IF(AND('Your debts'!$F$7&lt;&gt;"",'Your debts'!$F$12&lt;&gt;"",'Your debts'!$F$7&lt;'Your debts'!$F$12),M279,0)+IF(AND('Your debts'!$F$8&lt;&gt;"",'Your debts'!$F$12&lt;&gt;"",'Your debts'!$F$8&lt;'Your debts'!$F$12),R279,0)+IF(AND('Your debts'!$F$9&lt;&gt;"",'Your debts'!$F$12&lt;&gt;"",'Your debts'!$F$9&lt;'Your debts'!$F$12),W279,0)+IF(AND('Your debts'!$F$10&lt;&gt;"",'Your debts'!$F$12&lt;&gt;"",'Your debts'!$F$10&lt;'Your debts'!$F$12),AB279,0)+IF(AND('Your debts'!$F$11&lt;&gt;"",'Your debts'!$F$12&lt;&gt;"",'Your debts'!$F$11&lt;'Your debts'!$F$12),AG279,0)+IF(AND('Your debts'!$F$13&lt;&gt;"",'Your debts'!$F$12&lt;&gt;"",'Your debts'!$F$13&lt;'Your debts'!$F$12),AQ279,0)+IF(AND('Your debts'!$F$14&lt;&gt;"",'Your debts'!$F$12&lt;&gt;"",'Your debts'!$F$14&lt;'Your debts'!$F$12),AV279,0)+IF(AND('Your debts'!$F$15&lt;&gt;"",'Your debts'!$F$12&lt;&gt;"",'Your debts'!$F$15&lt;'Your debts'!$F$12),BA279,0)))))</f>
        <v/>
      </c>
      <c r="AN279" s="33">
        <f>AL279-AM279</f>
        <v/>
      </c>
      <c r="AO279" s="33">
        <f>IF(AS278&lt;=0,0,ROUND(AS278*(1+'Your debts'!$D$13/1200),2))</f>
        <v/>
      </c>
      <c r="AP279" s="33">
        <f>IF(AO279&lt;=0,0,MIN('Your debts'!$E$13,AO279))</f>
        <v/>
      </c>
      <c r="AQ279" s="33">
        <f>AO279-AP279</f>
        <v/>
      </c>
      <c r="AR279" s="33">
        <f>IF('Your debts'!$F$13="",0,MIN(AQ279,MAX(0,MAX(0,'Your debts'!$C$19-(G279+L279+Q279+V279+AA279+AF279+AK279+AP279+AU279+AZ279))-(IF(AND('Your debts'!$F$6&lt;&gt;"",'Your debts'!$F$13&lt;&gt;"",'Your debts'!$F$6&lt;'Your debts'!$F$13),H279,0)+IF(AND('Your debts'!$F$7&lt;&gt;"",'Your debts'!$F$13&lt;&gt;"",'Your debts'!$F$7&lt;'Your debts'!$F$13),M279,0)+IF(AND('Your debts'!$F$8&lt;&gt;"",'Your debts'!$F$13&lt;&gt;"",'Your debts'!$F$8&lt;'Your debts'!$F$13),R279,0)+IF(AND('Your debts'!$F$9&lt;&gt;"",'Your debts'!$F$13&lt;&gt;"",'Your debts'!$F$9&lt;'Your debts'!$F$13),W279,0)+IF(AND('Your debts'!$F$10&lt;&gt;"",'Your debts'!$F$13&lt;&gt;"",'Your debts'!$F$10&lt;'Your debts'!$F$13),AB279,0)+IF(AND('Your debts'!$F$11&lt;&gt;"",'Your debts'!$F$13&lt;&gt;"",'Your debts'!$F$11&lt;'Your debts'!$F$13),AG279,0)+IF(AND('Your debts'!$F$12&lt;&gt;"",'Your debts'!$F$13&lt;&gt;"",'Your debts'!$F$12&lt;'Your debts'!$F$13),AL279,0)+IF(AND('Your debts'!$F$14&lt;&gt;"",'Your debts'!$F$13&lt;&gt;"",'Your debts'!$F$14&lt;'Your debts'!$F$13),AV279,0)+IF(AND('Your debts'!$F$15&lt;&gt;"",'Your debts'!$F$13&lt;&gt;"",'Your debts'!$F$15&lt;'Your debts'!$F$13),BA279,0)))))</f>
        <v/>
      </c>
      <c r="AS279" s="33">
        <f>AQ279-AR279</f>
        <v/>
      </c>
      <c r="AT279" s="33">
        <f>IF(AX278&lt;=0,0,ROUND(AX278*(1+'Your debts'!$D$14/1200),2))</f>
        <v/>
      </c>
      <c r="AU279" s="33">
        <f>IF(AT279&lt;=0,0,MIN('Your debts'!$E$14,AT279))</f>
        <v/>
      </c>
      <c r="AV279" s="33">
        <f>AT279-AU279</f>
        <v/>
      </c>
      <c r="AW279" s="33">
        <f>IF('Your debts'!$F$14="",0,MIN(AV279,MAX(0,MAX(0,'Your debts'!$C$19-(G279+L279+Q279+V279+AA279+AF279+AK279+AP279+AU279+AZ279))-(IF(AND('Your debts'!$F$6&lt;&gt;"",'Your debts'!$F$14&lt;&gt;"",'Your debts'!$F$6&lt;'Your debts'!$F$14),H279,0)+IF(AND('Your debts'!$F$7&lt;&gt;"",'Your debts'!$F$14&lt;&gt;"",'Your debts'!$F$7&lt;'Your debts'!$F$14),M279,0)+IF(AND('Your debts'!$F$8&lt;&gt;"",'Your debts'!$F$14&lt;&gt;"",'Your debts'!$F$8&lt;'Your debts'!$F$14),R279,0)+IF(AND('Your debts'!$F$9&lt;&gt;"",'Your debts'!$F$14&lt;&gt;"",'Your debts'!$F$9&lt;'Your debts'!$F$14),W279,0)+IF(AND('Your debts'!$F$10&lt;&gt;"",'Your debts'!$F$14&lt;&gt;"",'Your debts'!$F$10&lt;'Your debts'!$F$14),AB279,0)+IF(AND('Your debts'!$F$11&lt;&gt;"",'Your debts'!$F$14&lt;&gt;"",'Your debts'!$F$11&lt;'Your debts'!$F$14),AG279,0)+IF(AND('Your debts'!$F$12&lt;&gt;"",'Your debts'!$F$14&lt;&gt;"",'Your debts'!$F$12&lt;'Your debts'!$F$14),AL279,0)+IF(AND('Your debts'!$F$13&lt;&gt;"",'Your debts'!$F$14&lt;&gt;"",'Your debts'!$F$13&lt;'Your debts'!$F$14),AQ279,0)+IF(AND('Your debts'!$F$15&lt;&gt;"",'Your debts'!$F$14&lt;&gt;"",'Your debts'!$F$15&lt;'Your debts'!$F$14),BA279,0)))))</f>
        <v/>
      </c>
      <c r="AX279" s="33">
        <f>AV279-AW279</f>
        <v/>
      </c>
      <c r="AY279" s="33">
        <f>IF(BC278&lt;=0,0,ROUND(BC278*(1+'Your debts'!$D$15/1200),2))</f>
        <v/>
      </c>
      <c r="AZ279" s="33">
        <f>IF(AY279&lt;=0,0,MIN('Your debts'!$E$15,AY279))</f>
        <v/>
      </c>
      <c r="BA279" s="33">
        <f>AY279-AZ279</f>
        <v/>
      </c>
      <c r="BB279" s="33">
        <f>IF('Your debts'!$F$15="",0,MIN(BA279,MAX(0,MAX(0,'Your debts'!$C$19-(G279+L279+Q279+V279+AA279+AF279+AK279+AP279+AU279+AZ279))-(IF(AND('Your debts'!$F$6&lt;&gt;"",'Your debts'!$F$15&lt;&gt;"",'Your debts'!$F$6&lt;'Your debts'!$F$15),H279,0)+IF(AND('Your debts'!$F$7&lt;&gt;"",'Your debts'!$F$15&lt;&gt;"",'Your debts'!$F$7&lt;'Your debts'!$F$15),M279,0)+IF(AND('Your debts'!$F$8&lt;&gt;"",'Your debts'!$F$15&lt;&gt;"",'Your debts'!$F$8&lt;'Your debts'!$F$15),R279,0)+IF(AND('Your debts'!$F$9&lt;&gt;"",'Your debts'!$F$15&lt;&gt;"",'Your debts'!$F$9&lt;'Your debts'!$F$15),W279,0)+IF(AND('Your debts'!$F$10&lt;&gt;"",'Your debts'!$F$15&lt;&gt;"",'Your debts'!$F$10&lt;'Your debts'!$F$15),AB279,0)+IF(AND('Your debts'!$F$11&lt;&gt;"",'Your debts'!$F$15&lt;&gt;"",'Your debts'!$F$11&lt;'Your debts'!$F$15),AG279,0)+IF(AND('Your debts'!$F$12&lt;&gt;"",'Your debts'!$F$15&lt;&gt;"",'Your debts'!$F$12&lt;'Your debts'!$F$15),AL279,0)+IF(AND('Your debts'!$F$13&lt;&gt;"",'Your debts'!$F$15&lt;&gt;"",'Your debts'!$F$13&lt;'Your debts'!$F$15),AQ279,0)+IF(AND('Your debts'!$F$14&lt;&gt;"",'Your debts'!$F$15&lt;&gt;"",'Your debts'!$F$14&lt;'Your debts'!$F$15),AV279,0)))))</f>
        <v/>
      </c>
      <c r="BC279" s="33">
        <f>BA279-BB279</f>
        <v/>
      </c>
    </row>
    <row r="280">
      <c r="A280" s="30" t="n">
        <v>265</v>
      </c>
      <c r="B280" s="31">
        <f>EDATE($B$15,265)</f>
        <v/>
      </c>
      <c r="C280" s="32">
        <f>IF(J279&lt;=0,0,F280-J279)+IF(O279&lt;=0,0,K280-O279)+IF(T279&lt;=0,0,P280-T279)+IF(Y279&lt;=0,0,U280-Y279)+IF(AD279&lt;=0,0,Z280-AD279)+IF(AI279&lt;=0,0,AE280-AI279)+IF(AN279&lt;=0,0,AJ280-AN279)+IF(AS279&lt;=0,0,AO280-AS279)+IF(AX279&lt;=0,0,AT280-AX279)+IF(BC279&lt;=0,0,AY280-BC279)</f>
        <v/>
      </c>
      <c r="D280" s="32">
        <f>G280+I280+L280+N280+Q280+S280+V280+X280+AA280+AC280+AF280+AH280+AK280+AM280+AP280+AR280+AU280+AW280+AZ280+BB280</f>
        <v/>
      </c>
      <c r="E280" s="32">
        <f>J280+O280+T280+Y280+AD280+AI280+AN280+AS280+AX280+BC280</f>
        <v/>
      </c>
      <c r="F280" s="33">
        <f>IF(J279&lt;=0,0,ROUND(J279*(1+'Your debts'!$D$6/1200),2))</f>
        <v/>
      </c>
      <c r="G280" s="33">
        <f>IF(F280&lt;=0,0,MIN('Your debts'!$E$6,F280))</f>
        <v/>
      </c>
      <c r="H280" s="33">
        <f>F280-G280</f>
        <v/>
      </c>
      <c r="I280" s="33">
        <f>IF('Your debts'!$F$6="",0,MIN(H280,MAX(0,MAX(0,'Your debts'!$C$19-(G280+L280+Q280+V280+AA280+AF280+AK280+AP280+AU280+AZ280))-(IF(AND('Your debts'!$F$7&lt;&gt;"",'Your debts'!$F$6&lt;&gt;"",'Your debts'!$F$7&lt;'Your debts'!$F$6),M280,0)+IF(AND('Your debts'!$F$8&lt;&gt;"",'Your debts'!$F$6&lt;&gt;"",'Your debts'!$F$8&lt;'Your debts'!$F$6),R280,0)+IF(AND('Your debts'!$F$9&lt;&gt;"",'Your debts'!$F$6&lt;&gt;"",'Your debts'!$F$9&lt;'Your debts'!$F$6),W280,0)+IF(AND('Your debts'!$F$10&lt;&gt;"",'Your debts'!$F$6&lt;&gt;"",'Your debts'!$F$10&lt;'Your debts'!$F$6),AB280,0)+IF(AND('Your debts'!$F$11&lt;&gt;"",'Your debts'!$F$6&lt;&gt;"",'Your debts'!$F$11&lt;'Your debts'!$F$6),AG280,0)+IF(AND('Your debts'!$F$12&lt;&gt;"",'Your debts'!$F$6&lt;&gt;"",'Your debts'!$F$12&lt;'Your debts'!$F$6),AL280,0)+IF(AND('Your debts'!$F$13&lt;&gt;"",'Your debts'!$F$6&lt;&gt;"",'Your debts'!$F$13&lt;'Your debts'!$F$6),AQ280,0)+IF(AND('Your debts'!$F$14&lt;&gt;"",'Your debts'!$F$6&lt;&gt;"",'Your debts'!$F$14&lt;'Your debts'!$F$6),AV280,0)+IF(AND('Your debts'!$F$15&lt;&gt;"",'Your debts'!$F$6&lt;&gt;"",'Your debts'!$F$15&lt;'Your debts'!$F$6),BA280,0)))))</f>
        <v/>
      </c>
      <c r="J280" s="33">
        <f>H280-I280</f>
        <v/>
      </c>
      <c r="K280" s="33">
        <f>IF(O279&lt;=0,0,ROUND(O279*(1+'Your debts'!$D$7/1200),2))</f>
        <v/>
      </c>
      <c r="L280" s="33">
        <f>IF(K280&lt;=0,0,MIN('Your debts'!$E$7,K280))</f>
        <v/>
      </c>
      <c r="M280" s="33">
        <f>K280-L280</f>
        <v/>
      </c>
      <c r="N280" s="33">
        <f>IF('Your debts'!$F$7="",0,MIN(M280,MAX(0,MAX(0,'Your debts'!$C$19-(G280+L280+Q280+V280+AA280+AF280+AK280+AP280+AU280+AZ280))-(IF(AND('Your debts'!$F$6&lt;&gt;"",'Your debts'!$F$7&lt;&gt;"",'Your debts'!$F$6&lt;'Your debts'!$F$7),H280,0)+IF(AND('Your debts'!$F$8&lt;&gt;"",'Your debts'!$F$7&lt;&gt;"",'Your debts'!$F$8&lt;'Your debts'!$F$7),R280,0)+IF(AND('Your debts'!$F$9&lt;&gt;"",'Your debts'!$F$7&lt;&gt;"",'Your debts'!$F$9&lt;'Your debts'!$F$7),W280,0)+IF(AND('Your debts'!$F$10&lt;&gt;"",'Your debts'!$F$7&lt;&gt;"",'Your debts'!$F$10&lt;'Your debts'!$F$7),AB280,0)+IF(AND('Your debts'!$F$11&lt;&gt;"",'Your debts'!$F$7&lt;&gt;"",'Your debts'!$F$11&lt;'Your debts'!$F$7),AG280,0)+IF(AND('Your debts'!$F$12&lt;&gt;"",'Your debts'!$F$7&lt;&gt;"",'Your debts'!$F$12&lt;'Your debts'!$F$7),AL280,0)+IF(AND('Your debts'!$F$13&lt;&gt;"",'Your debts'!$F$7&lt;&gt;"",'Your debts'!$F$13&lt;'Your debts'!$F$7),AQ280,0)+IF(AND('Your debts'!$F$14&lt;&gt;"",'Your debts'!$F$7&lt;&gt;"",'Your debts'!$F$14&lt;'Your debts'!$F$7),AV280,0)+IF(AND('Your debts'!$F$15&lt;&gt;"",'Your debts'!$F$7&lt;&gt;"",'Your debts'!$F$15&lt;'Your debts'!$F$7),BA280,0)))))</f>
        <v/>
      </c>
      <c r="O280" s="33">
        <f>M280-N280</f>
        <v/>
      </c>
      <c r="P280" s="33">
        <f>IF(T279&lt;=0,0,ROUND(T279*(1+'Your debts'!$D$8/1200),2))</f>
        <v/>
      </c>
      <c r="Q280" s="33">
        <f>IF(P280&lt;=0,0,MIN('Your debts'!$E$8,P280))</f>
        <v/>
      </c>
      <c r="R280" s="33">
        <f>P280-Q280</f>
        <v/>
      </c>
      <c r="S280" s="33">
        <f>IF('Your debts'!$F$8="",0,MIN(R280,MAX(0,MAX(0,'Your debts'!$C$19-(G280+L280+Q280+V280+AA280+AF280+AK280+AP280+AU280+AZ280))-(IF(AND('Your debts'!$F$6&lt;&gt;"",'Your debts'!$F$8&lt;&gt;"",'Your debts'!$F$6&lt;'Your debts'!$F$8),H280,0)+IF(AND('Your debts'!$F$7&lt;&gt;"",'Your debts'!$F$8&lt;&gt;"",'Your debts'!$F$7&lt;'Your debts'!$F$8),M280,0)+IF(AND('Your debts'!$F$9&lt;&gt;"",'Your debts'!$F$8&lt;&gt;"",'Your debts'!$F$9&lt;'Your debts'!$F$8),W280,0)+IF(AND('Your debts'!$F$10&lt;&gt;"",'Your debts'!$F$8&lt;&gt;"",'Your debts'!$F$10&lt;'Your debts'!$F$8),AB280,0)+IF(AND('Your debts'!$F$11&lt;&gt;"",'Your debts'!$F$8&lt;&gt;"",'Your debts'!$F$11&lt;'Your debts'!$F$8),AG280,0)+IF(AND('Your debts'!$F$12&lt;&gt;"",'Your debts'!$F$8&lt;&gt;"",'Your debts'!$F$12&lt;'Your debts'!$F$8),AL280,0)+IF(AND('Your debts'!$F$13&lt;&gt;"",'Your debts'!$F$8&lt;&gt;"",'Your debts'!$F$13&lt;'Your debts'!$F$8),AQ280,0)+IF(AND('Your debts'!$F$14&lt;&gt;"",'Your debts'!$F$8&lt;&gt;"",'Your debts'!$F$14&lt;'Your debts'!$F$8),AV280,0)+IF(AND('Your debts'!$F$15&lt;&gt;"",'Your debts'!$F$8&lt;&gt;"",'Your debts'!$F$15&lt;'Your debts'!$F$8),BA280,0)))))</f>
        <v/>
      </c>
      <c r="T280" s="33">
        <f>R280-S280</f>
        <v/>
      </c>
      <c r="U280" s="33">
        <f>IF(Y279&lt;=0,0,ROUND(Y279*(1+'Your debts'!$D$9/1200),2))</f>
        <v/>
      </c>
      <c r="V280" s="33">
        <f>IF(U280&lt;=0,0,MIN('Your debts'!$E$9,U280))</f>
        <v/>
      </c>
      <c r="W280" s="33">
        <f>U280-V280</f>
        <v/>
      </c>
      <c r="X280" s="33">
        <f>IF('Your debts'!$F$9="",0,MIN(W280,MAX(0,MAX(0,'Your debts'!$C$19-(G280+L280+Q280+V280+AA280+AF280+AK280+AP280+AU280+AZ280))-(IF(AND('Your debts'!$F$6&lt;&gt;"",'Your debts'!$F$9&lt;&gt;"",'Your debts'!$F$6&lt;'Your debts'!$F$9),H280,0)+IF(AND('Your debts'!$F$7&lt;&gt;"",'Your debts'!$F$9&lt;&gt;"",'Your debts'!$F$7&lt;'Your debts'!$F$9),M280,0)+IF(AND('Your debts'!$F$8&lt;&gt;"",'Your debts'!$F$9&lt;&gt;"",'Your debts'!$F$8&lt;'Your debts'!$F$9),R280,0)+IF(AND('Your debts'!$F$10&lt;&gt;"",'Your debts'!$F$9&lt;&gt;"",'Your debts'!$F$10&lt;'Your debts'!$F$9),AB280,0)+IF(AND('Your debts'!$F$11&lt;&gt;"",'Your debts'!$F$9&lt;&gt;"",'Your debts'!$F$11&lt;'Your debts'!$F$9),AG280,0)+IF(AND('Your debts'!$F$12&lt;&gt;"",'Your debts'!$F$9&lt;&gt;"",'Your debts'!$F$12&lt;'Your debts'!$F$9),AL280,0)+IF(AND('Your debts'!$F$13&lt;&gt;"",'Your debts'!$F$9&lt;&gt;"",'Your debts'!$F$13&lt;'Your debts'!$F$9),AQ280,0)+IF(AND('Your debts'!$F$14&lt;&gt;"",'Your debts'!$F$9&lt;&gt;"",'Your debts'!$F$14&lt;'Your debts'!$F$9),AV280,0)+IF(AND('Your debts'!$F$15&lt;&gt;"",'Your debts'!$F$9&lt;&gt;"",'Your debts'!$F$15&lt;'Your debts'!$F$9),BA280,0)))))</f>
        <v/>
      </c>
      <c r="Y280" s="33">
        <f>W280-X280</f>
        <v/>
      </c>
      <c r="Z280" s="33">
        <f>IF(AD279&lt;=0,0,ROUND(AD279*(1+'Your debts'!$D$10/1200),2))</f>
        <v/>
      </c>
      <c r="AA280" s="33">
        <f>IF(Z280&lt;=0,0,MIN('Your debts'!$E$10,Z280))</f>
        <v/>
      </c>
      <c r="AB280" s="33">
        <f>Z280-AA280</f>
        <v/>
      </c>
      <c r="AC280" s="33">
        <f>IF('Your debts'!$F$10="",0,MIN(AB280,MAX(0,MAX(0,'Your debts'!$C$19-(G280+L280+Q280+V280+AA280+AF280+AK280+AP280+AU280+AZ280))-(IF(AND('Your debts'!$F$6&lt;&gt;"",'Your debts'!$F$10&lt;&gt;"",'Your debts'!$F$6&lt;'Your debts'!$F$10),H280,0)+IF(AND('Your debts'!$F$7&lt;&gt;"",'Your debts'!$F$10&lt;&gt;"",'Your debts'!$F$7&lt;'Your debts'!$F$10),M280,0)+IF(AND('Your debts'!$F$8&lt;&gt;"",'Your debts'!$F$10&lt;&gt;"",'Your debts'!$F$8&lt;'Your debts'!$F$10),R280,0)+IF(AND('Your debts'!$F$9&lt;&gt;"",'Your debts'!$F$10&lt;&gt;"",'Your debts'!$F$9&lt;'Your debts'!$F$10),W280,0)+IF(AND('Your debts'!$F$11&lt;&gt;"",'Your debts'!$F$10&lt;&gt;"",'Your debts'!$F$11&lt;'Your debts'!$F$10),AG280,0)+IF(AND('Your debts'!$F$12&lt;&gt;"",'Your debts'!$F$10&lt;&gt;"",'Your debts'!$F$12&lt;'Your debts'!$F$10),AL280,0)+IF(AND('Your debts'!$F$13&lt;&gt;"",'Your debts'!$F$10&lt;&gt;"",'Your debts'!$F$13&lt;'Your debts'!$F$10),AQ280,0)+IF(AND('Your debts'!$F$14&lt;&gt;"",'Your debts'!$F$10&lt;&gt;"",'Your debts'!$F$14&lt;'Your debts'!$F$10),AV280,0)+IF(AND('Your debts'!$F$15&lt;&gt;"",'Your debts'!$F$10&lt;&gt;"",'Your debts'!$F$15&lt;'Your debts'!$F$10),BA280,0)))))</f>
        <v/>
      </c>
      <c r="AD280" s="33">
        <f>AB280-AC280</f>
        <v/>
      </c>
      <c r="AE280" s="33">
        <f>IF(AI279&lt;=0,0,ROUND(AI279*(1+'Your debts'!$D$11/1200),2))</f>
        <v/>
      </c>
      <c r="AF280" s="33">
        <f>IF(AE280&lt;=0,0,MIN('Your debts'!$E$11,AE280))</f>
        <v/>
      </c>
      <c r="AG280" s="33">
        <f>AE280-AF280</f>
        <v/>
      </c>
      <c r="AH280" s="33">
        <f>IF('Your debts'!$F$11="",0,MIN(AG280,MAX(0,MAX(0,'Your debts'!$C$19-(G280+L280+Q280+V280+AA280+AF280+AK280+AP280+AU280+AZ280))-(IF(AND('Your debts'!$F$6&lt;&gt;"",'Your debts'!$F$11&lt;&gt;"",'Your debts'!$F$6&lt;'Your debts'!$F$11),H280,0)+IF(AND('Your debts'!$F$7&lt;&gt;"",'Your debts'!$F$11&lt;&gt;"",'Your debts'!$F$7&lt;'Your debts'!$F$11),M280,0)+IF(AND('Your debts'!$F$8&lt;&gt;"",'Your debts'!$F$11&lt;&gt;"",'Your debts'!$F$8&lt;'Your debts'!$F$11),R280,0)+IF(AND('Your debts'!$F$9&lt;&gt;"",'Your debts'!$F$11&lt;&gt;"",'Your debts'!$F$9&lt;'Your debts'!$F$11),W280,0)+IF(AND('Your debts'!$F$10&lt;&gt;"",'Your debts'!$F$11&lt;&gt;"",'Your debts'!$F$10&lt;'Your debts'!$F$11),AB280,0)+IF(AND('Your debts'!$F$12&lt;&gt;"",'Your debts'!$F$11&lt;&gt;"",'Your debts'!$F$12&lt;'Your debts'!$F$11),AL280,0)+IF(AND('Your debts'!$F$13&lt;&gt;"",'Your debts'!$F$11&lt;&gt;"",'Your debts'!$F$13&lt;'Your debts'!$F$11),AQ280,0)+IF(AND('Your debts'!$F$14&lt;&gt;"",'Your debts'!$F$11&lt;&gt;"",'Your debts'!$F$14&lt;'Your debts'!$F$11),AV280,0)+IF(AND('Your debts'!$F$15&lt;&gt;"",'Your debts'!$F$11&lt;&gt;"",'Your debts'!$F$15&lt;'Your debts'!$F$11),BA280,0)))))</f>
        <v/>
      </c>
      <c r="AI280" s="33">
        <f>AG280-AH280</f>
        <v/>
      </c>
      <c r="AJ280" s="33">
        <f>IF(AN279&lt;=0,0,ROUND(AN279*(1+'Your debts'!$D$12/1200),2))</f>
        <v/>
      </c>
      <c r="AK280" s="33">
        <f>IF(AJ280&lt;=0,0,MIN('Your debts'!$E$12,AJ280))</f>
        <v/>
      </c>
      <c r="AL280" s="33">
        <f>AJ280-AK280</f>
        <v/>
      </c>
      <c r="AM280" s="33">
        <f>IF('Your debts'!$F$12="",0,MIN(AL280,MAX(0,MAX(0,'Your debts'!$C$19-(G280+L280+Q280+V280+AA280+AF280+AK280+AP280+AU280+AZ280))-(IF(AND('Your debts'!$F$6&lt;&gt;"",'Your debts'!$F$12&lt;&gt;"",'Your debts'!$F$6&lt;'Your debts'!$F$12),H280,0)+IF(AND('Your debts'!$F$7&lt;&gt;"",'Your debts'!$F$12&lt;&gt;"",'Your debts'!$F$7&lt;'Your debts'!$F$12),M280,0)+IF(AND('Your debts'!$F$8&lt;&gt;"",'Your debts'!$F$12&lt;&gt;"",'Your debts'!$F$8&lt;'Your debts'!$F$12),R280,0)+IF(AND('Your debts'!$F$9&lt;&gt;"",'Your debts'!$F$12&lt;&gt;"",'Your debts'!$F$9&lt;'Your debts'!$F$12),W280,0)+IF(AND('Your debts'!$F$10&lt;&gt;"",'Your debts'!$F$12&lt;&gt;"",'Your debts'!$F$10&lt;'Your debts'!$F$12),AB280,0)+IF(AND('Your debts'!$F$11&lt;&gt;"",'Your debts'!$F$12&lt;&gt;"",'Your debts'!$F$11&lt;'Your debts'!$F$12),AG280,0)+IF(AND('Your debts'!$F$13&lt;&gt;"",'Your debts'!$F$12&lt;&gt;"",'Your debts'!$F$13&lt;'Your debts'!$F$12),AQ280,0)+IF(AND('Your debts'!$F$14&lt;&gt;"",'Your debts'!$F$12&lt;&gt;"",'Your debts'!$F$14&lt;'Your debts'!$F$12),AV280,0)+IF(AND('Your debts'!$F$15&lt;&gt;"",'Your debts'!$F$12&lt;&gt;"",'Your debts'!$F$15&lt;'Your debts'!$F$12),BA280,0)))))</f>
        <v/>
      </c>
      <c r="AN280" s="33">
        <f>AL280-AM280</f>
        <v/>
      </c>
      <c r="AO280" s="33">
        <f>IF(AS279&lt;=0,0,ROUND(AS279*(1+'Your debts'!$D$13/1200),2))</f>
        <v/>
      </c>
      <c r="AP280" s="33">
        <f>IF(AO280&lt;=0,0,MIN('Your debts'!$E$13,AO280))</f>
        <v/>
      </c>
      <c r="AQ280" s="33">
        <f>AO280-AP280</f>
        <v/>
      </c>
      <c r="AR280" s="33">
        <f>IF('Your debts'!$F$13="",0,MIN(AQ280,MAX(0,MAX(0,'Your debts'!$C$19-(G280+L280+Q280+V280+AA280+AF280+AK280+AP280+AU280+AZ280))-(IF(AND('Your debts'!$F$6&lt;&gt;"",'Your debts'!$F$13&lt;&gt;"",'Your debts'!$F$6&lt;'Your debts'!$F$13),H280,0)+IF(AND('Your debts'!$F$7&lt;&gt;"",'Your debts'!$F$13&lt;&gt;"",'Your debts'!$F$7&lt;'Your debts'!$F$13),M280,0)+IF(AND('Your debts'!$F$8&lt;&gt;"",'Your debts'!$F$13&lt;&gt;"",'Your debts'!$F$8&lt;'Your debts'!$F$13),R280,0)+IF(AND('Your debts'!$F$9&lt;&gt;"",'Your debts'!$F$13&lt;&gt;"",'Your debts'!$F$9&lt;'Your debts'!$F$13),W280,0)+IF(AND('Your debts'!$F$10&lt;&gt;"",'Your debts'!$F$13&lt;&gt;"",'Your debts'!$F$10&lt;'Your debts'!$F$13),AB280,0)+IF(AND('Your debts'!$F$11&lt;&gt;"",'Your debts'!$F$13&lt;&gt;"",'Your debts'!$F$11&lt;'Your debts'!$F$13),AG280,0)+IF(AND('Your debts'!$F$12&lt;&gt;"",'Your debts'!$F$13&lt;&gt;"",'Your debts'!$F$12&lt;'Your debts'!$F$13),AL280,0)+IF(AND('Your debts'!$F$14&lt;&gt;"",'Your debts'!$F$13&lt;&gt;"",'Your debts'!$F$14&lt;'Your debts'!$F$13),AV280,0)+IF(AND('Your debts'!$F$15&lt;&gt;"",'Your debts'!$F$13&lt;&gt;"",'Your debts'!$F$15&lt;'Your debts'!$F$13),BA280,0)))))</f>
        <v/>
      </c>
      <c r="AS280" s="33">
        <f>AQ280-AR280</f>
        <v/>
      </c>
      <c r="AT280" s="33">
        <f>IF(AX279&lt;=0,0,ROUND(AX279*(1+'Your debts'!$D$14/1200),2))</f>
        <v/>
      </c>
      <c r="AU280" s="33">
        <f>IF(AT280&lt;=0,0,MIN('Your debts'!$E$14,AT280))</f>
        <v/>
      </c>
      <c r="AV280" s="33">
        <f>AT280-AU280</f>
        <v/>
      </c>
      <c r="AW280" s="33">
        <f>IF('Your debts'!$F$14="",0,MIN(AV280,MAX(0,MAX(0,'Your debts'!$C$19-(G280+L280+Q280+V280+AA280+AF280+AK280+AP280+AU280+AZ280))-(IF(AND('Your debts'!$F$6&lt;&gt;"",'Your debts'!$F$14&lt;&gt;"",'Your debts'!$F$6&lt;'Your debts'!$F$14),H280,0)+IF(AND('Your debts'!$F$7&lt;&gt;"",'Your debts'!$F$14&lt;&gt;"",'Your debts'!$F$7&lt;'Your debts'!$F$14),M280,0)+IF(AND('Your debts'!$F$8&lt;&gt;"",'Your debts'!$F$14&lt;&gt;"",'Your debts'!$F$8&lt;'Your debts'!$F$14),R280,0)+IF(AND('Your debts'!$F$9&lt;&gt;"",'Your debts'!$F$14&lt;&gt;"",'Your debts'!$F$9&lt;'Your debts'!$F$14),W280,0)+IF(AND('Your debts'!$F$10&lt;&gt;"",'Your debts'!$F$14&lt;&gt;"",'Your debts'!$F$10&lt;'Your debts'!$F$14),AB280,0)+IF(AND('Your debts'!$F$11&lt;&gt;"",'Your debts'!$F$14&lt;&gt;"",'Your debts'!$F$11&lt;'Your debts'!$F$14),AG280,0)+IF(AND('Your debts'!$F$12&lt;&gt;"",'Your debts'!$F$14&lt;&gt;"",'Your debts'!$F$12&lt;'Your debts'!$F$14),AL280,0)+IF(AND('Your debts'!$F$13&lt;&gt;"",'Your debts'!$F$14&lt;&gt;"",'Your debts'!$F$13&lt;'Your debts'!$F$14),AQ280,0)+IF(AND('Your debts'!$F$15&lt;&gt;"",'Your debts'!$F$14&lt;&gt;"",'Your debts'!$F$15&lt;'Your debts'!$F$14),BA280,0)))))</f>
        <v/>
      </c>
      <c r="AX280" s="33">
        <f>AV280-AW280</f>
        <v/>
      </c>
      <c r="AY280" s="33">
        <f>IF(BC279&lt;=0,0,ROUND(BC279*(1+'Your debts'!$D$15/1200),2))</f>
        <v/>
      </c>
      <c r="AZ280" s="33">
        <f>IF(AY280&lt;=0,0,MIN('Your debts'!$E$15,AY280))</f>
        <v/>
      </c>
      <c r="BA280" s="33">
        <f>AY280-AZ280</f>
        <v/>
      </c>
      <c r="BB280" s="33">
        <f>IF('Your debts'!$F$15="",0,MIN(BA280,MAX(0,MAX(0,'Your debts'!$C$19-(G280+L280+Q280+V280+AA280+AF280+AK280+AP280+AU280+AZ280))-(IF(AND('Your debts'!$F$6&lt;&gt;"",'Your debts'!$F$15&lt;&gt;"",'Your debts'!$F$6&lt;'Your debts'!$F$15),H280,0)+IF(AND('Your debts'!$F$7&lt;&gt;"",'Your debts'!$F$15&lt;&gt;"",'Your debts'!$F$7&lt;'Your debts'!$F$15),M280,0)+IF(AND('Your debts'!$F$8&lt;&gt;"",'Your debts'!$F$15&lt;&gt;"",'Your debts'!$F$8&lt;'Your debts'!$F$15),R280,0)+IF(AND('Your debts'!$F$9&lt;&gt;"",'Your debts'!$F$15&lt;&gt;"",'Your debts'!$F$9&lt;'Your debts'!$F$15),W280,0)+IF(AND('Your debts'!$F$10&lt;&gt;"",'Your debts'!$F$15&lt;&gt;"",'Your debts'!$F$10&lt;'Your debts'!$F$15),AB280,0)+IF(AND('Your debts'!$F$11&lt;&gt;"",'Your debts'!$F$15&lt;&gt;"",'Your debts'!$F$11&lt;'Your debts'!$F$15),AG280,0)+IF(AND('Your debts'!$F$12&lt;&gt;"",'Your debts'!$F$15&lt;&gt;"",'Your debts'!$F$12&lt;'Your debts'!$F$15),AL280,0)+IF(AND('Your debts'!$F$13&lt;&gt;"",'Your debts'!$F$15&lt;&gt;"",'Your debts'!$F$13&lt;'Your debts'!$F$15),AQ280,0)+IF(AND('Your debts'!$F$14&lt;&gt;"",'Your debts'!$F$15&lt;&gt;"",'Your debts'!$F$14&lt;'Your debts'!$F$15),AV280,0)))))</f>
        <v/>
      </c>
      <c r="BC280" s="33">
        <f>BA280-BB280</f>
        <v/>
      </c>
    </row>
    <row r="281">
      <c r="A281" s="30" t="n">
        <v>266</v>
      </c>
      <c r="B281" s="31">
        <f>EDATE($B$15,266)</f>
        <v/>
      </c>
      <c r="C281" s="32">
        <f>IF(J280&lt;=0,0,F281-J280)+IF(O280&lt;=0,0,K281-O280)+IF(T280&lt;=0,0,P281-T280)+IF(Y280&lt;=0,0,U281-Y280)+IF(AD280&lt;=0,0,Z281-AD280)+IF(AI280&lt;=0,0,AE281-AI280)+IF(AN280&lt;=0,0,AJ281-AN280)+IF(AS280&lt;=0,0,AO281-AS280)+IF(AX280&lt;=0,0,AT281-AX280)+IF(BC280&lt;=0,0,AY281-BC280)</f>
        <v/>
      </c>
      <c r="D281" s="32">
        <f>G281+I281+L281+N281+Q281+S281+V281+X281+AA281+AC281+AF281+AH281+AK281+AM281+AP281+AR281+AU281+AW281+AZ281+BB281</f>
        <v/>
      </c>
      <c r="E281" s="32">
        <f>J281+O281+T281+Y281+AD281+AI281+AN281+AS281+AX281+BC281</f>
        <v/>
      </c>
      <c r="F281" s="33">
        <f>IF(J280&lt;=0,0,ROUND(J280*(1+'Your debts'!$D$6/1200),2))</f>
        <v/>
      </c>
      <c r="G281" s="33">
        <f>IF(F281&lt;=0,0,MIN('Your debts'!$E$6,F281))</f>
        <v/>
      </c>
      <c r="H281" s="33">
        <f>F281-G281</f>
        <v/>
      </c>
      <c r="I281" s="33">
        <f>IF('Your debts'!$F$6="",0,MIN(H281,MAX(0,MAX(0,'Your debts'!$C$19-(G281+L281+Q281+V281+AA281+AF281+AK281+AP281+AU281+AZ281))-(IF(AND('Your debts'!$F$7&lt;&gt;"",'Your debts'!$F$6&lt;&gt;"",'Your debts'!$F$7&lt;'Your debts'!$F$6),M281,0)+IF(AND('Your debts'!$F$8&lt;&gt;"",'Your debts'!$F$6&lt;&gt;"",'Your debts'!$F$8&lt;'Your debts'!$F$6),R281,0)+IF(AND('Your debts'!$F$9&lt;&gt;"",'Your debts'!$F$6&lt;&gt;"",'Your debts'!$F$9&lt;'Your debts'!$F$6),W281,0)+IF(AND('Your debts'!$F$10&lt;&gt;"",'Your debts'!$F$6&lt;&gt;"",'Your debts'!$F$10&lt;'Your debts'!$F$6),AB281,0)+IF(AND('Your debts'!$F$11&lt;&gt;"",'Your debts'!$F$6&lt;&gt;"",'Your debts'!$F$11&lt;'Your debts'!$F$6),AG281,0)+IF(AND('Your debts'!$F$12&lt;&gt;"",'Your debts'!$F$6&lt;&gt;"",'Your debts'!$F$12&lt;'Your debts'!$F$6),AL281,0)+IF(AND('Your debts'!$F$13&lt;&gt;"",'Your debts'!$F$6&lt;&gt;"",'Your debts'!$F$13&lt;'Your debts'!$F$6),AQ281,0)+IF(AND('Your debts'!$F$14&lt;&gt;"",'Your debts'!$F$6&lt;&gt;"",'Your debts'!$F$14&lt;'Your debts'!$F$6),AV281,0)+IF(AND('Your debts'!$F$15&lt;&gt;"",'Your debts'!$F$6&lt;&gt;"",'Your debts'!$F$15&lt;'Your debts'!$F$6),BA281,0)))))</f>
        <v/>
      </c>
      <c r="J281" s="33">
        <f>H281-I281</f>
        <v/>
      </c>
      <c r="K281" s="33">
        <f>IF(O280&lt;=0,0,ROUND(O280*(1+'Your debts'!$D$7/1200),2))</f>
        <v/>
      </c>
      <c r="L281" s="33">
        <f>IF(K281&lt;=0,0,MIN('Your debts'!$E$7,K281))</f>
        <v/>
      </c>
      <c r="M281" s="33">
        <f>K281-L281</f>
        <v/>
      </c>
      <c r="N281" s="33">
        <f>IF('Your debts'!$F$7="",0,MIN(M281,MAX(0,MAX(0,'Your debts'!$C$19-(G281+L281+Q281+V281+AA281+AF281+AK281+AP281+AU281+AZ281))-(IF(AND('Your debts'!$F$6&lt;&gt;"",'Your debts'!$F$7&lt;&gt;"",'Your debts'!$F$6&lt;'Your debts'!$F$7),H281,0)+IF(AND('Your debts'!$F$8&lt;&gt;"",'Your debts'!$F$7&lt;&gt;"",'Your debts'!$F$8&lt;'Your debts'!$F$7),R281,0)+IF(AND('Your debts'!$F$9&lt;&gt;"",'Your debts'!$F$7&lt;&gt;"",'Your debts'!$F$9&lt;'Your debts'!$F$7),W281,0)+IF(AND('Your debts'!$F$10&lt;&gt;"",'Your debts'!$F$7&lt;&gt;"",'Your debts'!$F$10&lt;'Your debts'!$F$7),AB281,0)+IF(AND('Your debts'!$F$11&lt;&gt;"",'Your debts'!$F$7&lt;&gt;"",'Your debts'!$F$11&lt;'Your debts'!$F$7),AG281,0)+IF(AND('Your debts'!$F$12&lt;&gt;"",'Your debts'!$F$7&lt;&gt;"",'Your debts'!$F$12&lt;'Your debts'!$F$7),AL281,0)+IF(AND('Your debts'!$F$13&lt;&gt;"",'Your debts'!$F$7&lt;&gt;"",'Your debts'!$F$13&lt;'Your debts'!$F$7),AQ281,0)+IF(AND('Your debts'!$F$14&lt;&gt;"",'Your debts'!$F$7&lt;&gt;"",'Your debts'!$F$14&lt;'Your debts'!$F$7),AV281,0)+IF(AND('Your debts'!$F$15&lt;&gt;"",'Your debts'!$F$7&lt;&gt;"",'Your debts'!$F$15&lt;'Your debts'!$F$7),BA281,0)))))</f>
        <v/>
      </c>
      <c r="O281" s="33">
        <f>M281-N281</f>
        <v/>
      </c>
      <c r="P281" s="33">
        <f>IF(T280&lt;=0,0,ROUND(T280*(1+'Your debts'!$D$8/1200),2))</f>
        <v/>
      </c>
      <c r="Q281" s="33">
        <f>IF(P281&lt;=0,0,MIN('Your debts'!$E$8,P281))</f>
        <v/>
      </c>
      <c r="R281" s="33">
        <f>P281-Q281</f>
        <v/>
      </c>
      <c r="S281" s="33">
        <f>IF('Your debts'!$F$8="",0,MIN(R281,MAX(0,MAX(0,'Your debts'!$C$19-(G281+L281+Q281+V281+AA281+AF281+AK281+AP281+AU281+AZ281))-(IF(AND('Your debts'!$F$6&lt;&gt;"",'Your debts'!$F$8&lt;&gt;"",'Your debts'!$F$6&lt;'Your debts'!$F$8),H281,0)+IF(AND('Your debts'!$F$7&lt;&gt;"",'Your debts'!$F$8&lt;&gt;"",'Your debts'!$F$7&lt;'Your debts'!$F$8),M281,0)+IF(AND('Your debts'!$F$9&lt;&gt;"",'Your debts'!$F$8&lt;&gt;"",'Your debts'!$F$9&lt;'Your debts'!$F$8),W281,0)+IF(AND('Your debts'!$F$10&lt;&gt;"",'Your debts'!$F$8&lt;&gt;"",'Your debts'!$F$10&lt;'Your debts'!$F$8),AB281,0)+IF(AND('Your debts'!$F$11&lt;&gt;"",'Your debts'!$F$8&lt;&gt;"",'Your debts'!$F$11&lt;'Your debts'!$F$8),AG281,0)+IF(AND('Your debts'!$F$12&lt;&gt;"",'Your debts'!$F$8&lt;&gt;"",'Your debts'!$F$12&lt;'Your debts'!$F$8),AL281,0)+IF(AND('Your debts'!$F$13&lt;&gt;"",'Your debts'!$F$8&lt;&gt;"",'Your debts'!$F$13&lt;'Your debts'!$F$8),AQ281,0)+IF(AND('Your debts'!$F$14&lt;&gt;"",'Your debts'!$F$8&lt;&gt;"",'Your debts'!$F$14&lt;'Your debts'!$F$8),AV281,0)+IF(AND('Your debts'!$F$15&lt;&gt;"",'Your debts'!$F$8&lt;&gt;"",'Your debts'!$F$15&lt;'Your debts'!$F$8),BA281,0)))))</f>
        <v/>
      </c>
      <c r="T281" s="33">
        <f>R281-S281</f>
        <v/>
      </c>
      <c r="U281" s="33">
        <f>IF(Y280&lt;=0,0,ROUND(Y280*(1+'Your debts'!$D$9/1200),2))</f>
        <v/>
      </c>
      <c r="V281" s="33">
        <f>IF(U281&lt;=0,0,MIN('Your debts'!$E$9,U281))</f>
        <v/>
      </c>
      <c r="W281" s="33">
        <f>U281-V281</f>
        <v/>
      </c>
      <c r="X281" s="33">
        <f>IF('Your debts'!$F$9="",0,MIN(W281,MAX(0,MAX(0,'Your debts'!$C$19-(G281+L281+Q281+V281+AA281+AF281+AK281+AP281+AU281+AZ281))-(IF(AND('Your debts'!$F$6&lt;&gt;"",'Your debts'!$F$9&lt;&gt;"",'Your debts'!$F$6&lt;'Your debts'!$F$9),H281,0)+IF(AND('Your debts'!$F$7&lt;&gt;"",'Your debts'!$F$9&lt;&gt;"",'Your debts'!$F$7&lt;'Your debts'!$F$9),M281,0)+IF(AND('Your debts'!$F$8&lt;&gt;"",'Your debts'!$F$9&lt;&gt;"",'Your debts'!$F$8&lt;'Your debts'!$F$9),R281,0)+IF(AND('Your debts'!$F$10&lt;&gt;"",'Your debts'!$F$9&lt;&gt;"",'Your debts'!$F$10&lt;'Your debts'!$F$9),AB281,0)+IF(AND('Your debts'!$F$11&lt;&gt;"",'Your debts'!$F$9&lt;&gt;"",'Your debts'!$F$11&lt;'Your debts'!$F$9),AG281,0)+IF(AND('Your debts'!$F$12&lt;&gt;"",'Your debts'!$F$9&lt;&gt;"",'Your debts'!$F$12&lt;'Your debts'!$F$9),AL281,0)+IF(AND('Your debts'!$F$13&lt;&gt;"",'Your debts'!$F$9&lt;&gt;"",'Your debts'!$F$13&lt;'Your debts'!$F$9),AQ281,0)+IF(AND('Your debts'!$F$14&lt;&gt;"",'Your debts'!$F$9&lt;&gt;"",'Your debts'!$F$14&lt;'Your debts'!$F$9),AV281,0)+IF(AND('Your debts'!$F$15&lt;&gt;"",'Your debts'!$F$9&lt;&gt;"",'Your debts'!$F$15&lt;'Your debts'!$F$9),BA281,0)))))</f>
        <v/>
      </c>
      <c r="Y281" s="33">
        <f>W281-X281</f>
        <v/>
      </c>
      <c r="Z281" s="33">
        <f>IF(AD280&lt;=0,0,ROUND(AD280*(1+'Your debts'!$D$10/1200),2))</f>
        <v/>
      </c>
      <c r="AA281" s="33">
        <f>IF(Z281&lt;=0,0,MIN('Your debts'!$E$10,Z281))</f>
        <v/>
      </c>
      <c r="AB281" s="33">
        <f>Z281-AA281</f>
        <v/>
      </c>
      <c r="AC281" s="33">
        <f>IF('Your debts'!$F$10="",0,MIN(AB281,MAX(0,MAX(0,'Your debts'!$C$19-(G281+L281+Q281+V281+AA281+AF281+AK281+AP281+AU281+AZ281))-(IF(AND('Your debts'!$F$6&lt;&gt;"",'Your debts'!$F$10&lt;&gt;"",'Your debts'!$F$6&lt;'Your debts'!$F$10),H281,0)+IF(AND('Your debts'!$F$7&lt;&gt;"",'Your debts'!$F$10&lt;&gt;"",'Your debts'!$F$7&lt;'Your debts'!$F$10),M281,0)+IF(AND('Your debts'!$F$8&lt;&gt;"",'Your debts'!$F$10&lt;&gt;"",'Your debts'!$F$8&lt;'Your debts'!$F$10),R281,0)+IF(AND('Your debts'!$F$9&lt;&gt;"",'Your debts'!$F$10&lt;&gt;"",'Your debts'!$F$9&lt;'Your debts'!$F$10),W281,0)+IF(AND('Your debts'!$F$11&lt;&gt;"",'Your debts'!$F$10&lt;&gt;"",'Your debts'!$F$11&lt;'Your debts'!$F$10),AG281,0)+IF(AND('Your debts'!$F$12&lt;&gt;"",'Your debts'!$F$10&lt;&gt;"",'Your debts'!$F$12&lt;'Your debts'!$F$10),AL281,0)+IF(AND('Your debts'!$F$13&lt;&gt;"",'Your debts'!$F$10&lt;&gt;"",'Your debts'!$F$13&lt;'Your debts'!$F$10),AQ281,0)+IF(AND('Your debts'!$F$14&lt;&gt;"",'Your debts'!$F$10&lt;&gt;"",'Your debts'!$F$14&lt;'Your debts'!$F$10),AV281,0)+IF(AND('Your debts'!$F$15&lt;&gt;"",'Your debts'!$F$10&lt;&gt;"",'Your debts'!$F$15&lt;'Your debts'!$F$10),BA281,0)))))</f>
        <v/>
      </c>
      <c r="AD281" s="33">
        <f>AB281-AC281</f>
        <v/>
      </c>
      <c r="AE281" s="33">
        <f>IF(AI280&lt;=0,0,ROUND(AI280*(1+'Your debts'!$D$11/1200),2))</f>
        <v/>
      </c>
      <c r="AF281" s="33">
        <f>IF(AE281&lt;=0,0,MIN('Your debts'!$E$11,AE281))</f>
        <v/>
      </c>
      <c r="AG281" s="33">
        <f>AE281-AF281</f>
        <v/>
      </c>
      <c r="AH281" s="33">
        <f>IF('Your debts'!$F$11="",0,MIN(AG281,MAX(0,MAX(0,'Your debts'!$C$19-(G281+L281+Q281+V281+AA281+AF281+AK281+AP281+AU281+AZ281))-(IF(AND('Your debts'!$F$6&lt;&gt;"",'Your debts'!$F$11&lt;&gt;"",'Your debts'!$F$6&lt;'Your debts'!$F$11),H281,0)+IF(AND('Your debts'!$F$7&lt;&gt;"",'Your debts'!$F$11&lt;&gt;"",'Your debts'!$F$7&lt;'Your debts'!$F$11),M281,0)+IF(AND('Your debts'!$F$8&lt;&gt;"",'Your debts'!$F$11&lt;&gt;"",'Your debts'!$F$8&lt;'Your debts'!$F$11),R281,0)+IF(AND('Your debts'!$F$9&lt;&gt;"",'Your debts'!$F$11&lt;&gt;"",'Your debts'!$F$9&lt;'Your debts'!$F$11),W281,0)+IF(AND('Your debts'!$F$10&lt;&gt;"",'Your debts'!$F$11&lt;&gt;"",'Your debts'!$F$10&lt;'Your debts'!$F$11),AB281,0)+IF(AND('Your debts'!$F$12&lt;&gt;"",'Your debts'!$F$11&lt;&gt;"",'Your debts'!$F$12&lt;'Your debts'!$F$11),AL281,0)+IF(AND('Your debts'!$F$13&lt;&gt;"",'Your debts'!$F$11&lt;&gt;"",'Your debts'!$F$13&lt;'Your debts'!$F$11),AQ281,0)+IF(AND('Your debts'!$F$14&lt;&gt;"",'Your debts'!$F$11&lt;&gt;"",'Your debts'!$F$14&lt;'Your debts'!$F$11),AV281,0)+IF(AND('Your debts'!$F$15&lt;&gt;"",'Your debts'!$F$11&lt;&gt;"",'Your debts'!$F$15&lt;'Your debts'!$F$11),BA281,0)))))</f>
        <v/>
      </c>
      <c r="AI281" s="33">
        <f>AG281-AH281</f>
        <v/>
      </c>
      <c r="AJ281" s="33">
        <f>IF(AN280&lt;=0,0,ROUND(AN280*(1+'Your debts'!$D$12/1200),2))</f>
        <v/>
      </c>
      <c r="AK281" s="33">
        <f>IF(AJ281&lt;=0,0,MIN('Your debts'!$E$12,AJ281))</f>
        <v/>
      </c>
      <c r="AL281" s="33">
        <f>AJ281-AK281</f>
        <v/>
      </c>
      <c r="AM281" s="33">
        <f>IF('Your debts'!$F$12="",0,MIN(AL281,MAX(0,MAX(0,'Your debts'!$C$19-(G281+L281+Q281+V281+AA281+AF281+AK281+AP281+AU281+AZ281))-(IF(AND('Your debts'!$F$6&lt;&gt;"",'Your debts'!$F$12&lt;&gt;"",'Your debts'!$F$6&lt;'Your debts'!$F$12),H281,0)+IF(AND('Your debts'!$F$7&lt;&gt;"",'Your debts'!$F$12&lt;&gt;"",'Your debts'!$F$7&lt;'Your debts'!$F$12),M281,0)+IF(AND('Your debts'!$F$8&lt;&gt;"",'Your debts'!$F$12&lt;&gt;"",'Your debts'!$F$8&lt;'Your debts'!$F$12),R281,0)+IF(AND('Your debts'!$F$9&lt;&gt;"",'Your debts'!$F$12&lt;&gt;"",'Your debts'!$F$9&lt;'Your debts'!$F$12),W281,0)+IF(AND('Your debts'!$F$10&lt;&gt;"",'Your debts'!$F$12&lt;&gt;"",'Your debts'!$F$10&lt;'Your debts'!$F$12),AB281,0)+IF(AND('Your debts'!$F$11&lt;&gt;"",'Your debts'!$F$12&lt;&gt;"",'Your debts'!$F$11&lt;'Your debts'!$F$12),AG281,0)+IF(AND('Your debts'!$F$13&lt;&gt;"",'Your debts'!$F$12&lt;&gt;"",'Your debts'!$F$13&lt;'Your debts'!$F$12),AQ281,0)+IF(AND('Your debts'!$F$14&lt;&gt;"",'Your debts'!$F$12&lt;&gt;"",'Your debts'!$F$14&lt;'Your debts'!$F$12),AV281,0)+IF(AND('Your debts'!$F$15&lt;&gt;"",'Your debts'!$F$12&lt;&gt;"",'Your debts'!$F$15&lt;'Your debts'!$F$12),BA281,0)))))</f>
        <v/>
      </c>
      <c r="AN281" s="33">
        <f>AL281-AM281</f>
        <v/>
      </c>
      <c r="AO281" s="33">
        <f>IF(AS280&lt;=0,0,ROUND(AS280*(1+'Your debts'!$D$13/1200),2))</f>
        <v/>
      </c>
      <c r="AP281" s="33">
        <f>IF(AO281&lt;=0,0,MIN('Your debts'!$E$13,AO281))</f>
        <v/>
      </c>
      <c r="AQ281" s="33">
        <f>AO281-AP281</f>
        <v/>
      </c>
      <c r="AR281" s="33">
        <f>IF('Your debts'!$F$13="",0,MIN(AQ281,MAX(0,MAX(0,'Your debts'!$C$19-(G281+L281+Q281+V281+AA281+AF281+AK281+AP281+AU281+AZ281))-(IF(AND('Your debts'!$F$6&lt;&gt;"",'Your debts'!$F$13&lt;&gt;"",'Your debts'!$F$6&lt;'Your debts'!$F$13),H281,0)+IF(AND('Your debts'!$F$7&lt;&gt;"",'Your debts'!$F$13&lt;&gt;"",'Your debts'!$F$7&lt;'Your debts'!$F$13),M281,0)+IF(AND('Your debts'!$F$8&lt;&gt;"",'Your debts'!$F$13&lt;&gt;"",'Your debts'!$F$8&lt;'Your debts'!$F$13),R281,0)+IF(AND('Your debts'!$F$9&lt;&gt;"",'Your debts'!$F$13&lt;&gt;"",'Your debts'!$F$9&lt;'Your debts'!$F$13),W281,0)+IF(AND('Your debts'!$F$10&lt;&gt;"",'Your debts'!$F$13&lt;&gt;"",'Your debts'!$F$10&lt;'Your debts'!$F$13),AB281,0)+IF(AND('Your debts'!$F$11&lt;&gt;"",'Your debts'!$F$13&lt;&gt;"",'Your debts'!$F$11&lt;'Your debts'!$F$13),AG281,0)+IF(AND('Your debts'!$F$12&lt;&gt;"",'Your debts'!$F$13&lt;&gt;"",'Your debts'!$F$12&lt;'Your debts'!$F$13),AL281,0)+IF(AND('Your debts'!$F$14&lt;&gt;"",'Your debts'!$F$13&lt;&gt;"",'Your debts'!$F$14&lt;'Your debts'!$F$13),AV281,0)+IF(AND('Your debts'!$F$15&lt;&gt;"",'Your debts'!$F$13&lt;&gt;"",'Your debts'!$F$15&lt;'Your debts'!$F$13),BA281,0)))))</f>
        <v/>
      </c>
      <c r="AS281" s="33">
        <f>AQ281-AR281</f>
        <v/>
      </c>
      <c r="AT281" s="33">
        <f>IF(AX280&lt;=0,0,ROUND(AX280*(1+'Your debts'!$D$14/1200),2))</f>
        <v/>
      </c>
      <c r="AU281" s="33">
        <f>IF(AT281&lt;=0,0,MIN('Your debts'!$E$14,AT281))</f>
        <v/>
      </c>
      <c r="AV281" s="33">
        <f>AT281-AU281</f>
        <v/>
      </c>
      <c r="AW281" s="33">
        <f>IF('Your debts'!$F$14="",0,MIN(AV281,MAX(0,MAX(0,'Your debts'!$C$19-(G281+L281+Q281+V281+AA281+AF281+AK281+AP281+AU281+AZ281))-(IF(AND('Your debts'!$F$6&lt;&gt;"",'Your debts'!$F$14&lt;&gt;"",'Your debts'!$F$6&lt;'Your debts'!$F$14),H281,0)+IF(AND('Your debts'!$F$7&lt;&gt;"",'Your debts'!$F$14&lt;&gt;"",'Your debts'!$F$7&lt;'Your debts'!$F$14),M281,0)+IF(AND('Your debts'!$F$8&lt;&gt;"",'Your debts'!$F$14&lt;&gt;"",'Your debts'!$F$8&lt;'Your debts'!$F$14),R281,0)+IF(AND('Your debts'!$F$9&lt;&gt;"",'Your debts'!$F$14&lt;&gt;"",'Your debts'!$F$9&lt;'Your debts'!$F$14),W281,0)+IF(AND('Your debts'!$F$10&lt;&gt;"",'Your debts'!$F$14&lt;&gt;"",'Your debts'!$F$10&lt;'Your debts'!$F$14),AB281,0)+IF(AND('Your debts'!$F$11&lt;&gt;"",'Your debts'!$F$14&lt;&gt;"",'Your debts'!$F$11&lt;'Your debts'!$F$14),AG281,0)+IF(AND('Your debts'!$F$12&lt;&gt;"",'Your debts'!$F$14&lt;&gt;"",'Your debts'!$F$12&lt;'Your debts'!$F$14),AL281,0)+IF(AND('Your debts'!$F$13&lt;&gt;"",'Your debts'!$F$14&lt;&gt;"",'Your debts'!$F$13&lt;'Your debts'!$F$14),AQ281,0)+IF(AND('Your debts'!$F$15&lt;&gt;"",'Your debts'!$F$14&lt;&gt;"",'Your debts'!$F$15&lt;'Your debts'!$F$14),BA281,0)))))</f>
        <v/>
      </c>
      <c r="AX281" s="33">
        <f>AV281-AW281</f>
        <v/>
      </c>
      <c r="AY281" s="33">
        <f>IF(BC280&lt;=0,0,ROUND(BC280*(1+'Your debts'!$D$15/1200),2))</f>
        <v/>
      </c>
      <c r="AZ281" s="33">
        <f>IF(AY281&lt;=0,0,MIN('Your debts'!$E$15,AY281))</f>
        <v/>
      </c>
      <c r="BA281" s="33">
        <f>AY281-AZ281</f>
        <v/>
      </c>
      <c r="BB281" s="33">
        <f>IF('Your debts'!$F$15="",0,MIN(BA281,MAX(0,MAX(0,'Your debts'!$C$19-(G281+L281+Q281+V281+AA281+AF281+AK281+AP281+AU281+AZ281))-(IF(AND('Your debts'!$F$6&lt;&gt;"",'Your debts'!$F$15&lt;&gt;"",'Your debts'!$F$6&lt;'Your debts'!$F$15),H281,0)+IF(AND('Your debts'!$F$7&lt;&gt;"",'Your debts'!$F$15&lt;&gt;"",'Your debts'!$F$7&lt;'Your debts'!$F$15),M281,0)+IF(AND('Your debts'!$F$8&lt;&gt;"",'Your debts'!$F$15&lt;&gt;"",'Your debts'!$F$8&lt;'Your debts'!$F$15),R281,0)+IF(AND('Your debts'!$F$9&lt;&gt;"",'Your debts'!$F$15&lt;&gt;"",'Your debts'!$F$9&lt;'Your debts'!$F$15),W281,0)+IF(AND('Your debts'!$F$10&lt;&gt;"",'Your debts'!$F$15&lt;&gt;"",'Your debts'!$F$10&lt;'Your debts'!$F$15),AB281,0)+IF(AND('Your debts'!$F$11&lt;&gt;"",'Your debts'!$F$15&lt;&gt;"",'Your debts'!$F$11&lt;'Your debts'!$F$15),AG281,0)+IF(AND('Your debts'!$F$12&lt;&gt;"",'Your debts'!$F$15&lt;&gt;"",'Your debts'!$F$12&lt;'Your debts'!$F$15),AL281,0)+IF(AND('Your debts'!$F$13&lt;&gt;"",'Your debts'!$F$15&lt;&gt;"",'Your debts'!$F$13&lt;'Your debts'!$F$15),AQ281,0)+IF(AND('Your debts'!$F$14&lt;&gt;"",'Your debts'!$F$15&lt;&gt;"",'Your debts'!$F$14&lt;'Your debts'!$F$15),AV281,0)))))</f>
        <v/>
      </c>
      <c r="BC281" s="33">
        <f>BA281-BB281</f>
        <v/>
      </c>
    </row>
    <row r="282">
      <c r="A282" s="30" t="n">
        <v>267</v>
      </c>
      <c r="B282" s="31">
        <f>EDATE($B$15,267)</f>
        <v/>
      </c>
      <c r="C282" s="32">
        <f>IF(J281&lt;=0,0,F282-J281)+IF(O281&lt;=0,0,K282-O281)+IF(T281&lt;=0,0,P282-T281)+IF(Y281&lt;=0,0,U282-Y281)+IF(AD281&lt;=0,0,Z282-AD281)+IF(AI281&lt;=0,0,AE282-AI281)+IF(AN281&lt;=0,0,AJ282-AN281)+IF(AS281&lt;=0,0,AO282-AS281)+IF(AX281&lt;=0,0,AT282-AX281)+IF(BC281&lt;=0,0,AY282-BC281)</f>
        <v/>
      </c>
      <c r="D282" s="32">
        <f>G282+I282+L282+N282+Q282+S282+V282+X282+AA282+AC282+AF282+AH282+AK282+AM282+AP282+AR282+AU282+AW282+AZ282+BB282</f>
        <v/>
      </c>
      <c r="E282" s="32">
        <f>J282+O282+T282+Y282+AD282+AI282+AN282+AS282+AX282+BC282</f>
        <v/>
      </c>
      <c r="F282" s="33">
        <f>IF(J281&lt;=0,0,ROUND(J281*(1+'Your debts'!$D$6/1200),2))</f>
        <v/>
      </c>
      <c r="G282" s="33">
        <f>IF(F282&lt;=0,0,MIN('Your debts'!$E$6,F282))</f>
        <v/>
      </c>
      <c r="H282" s="33">
        <f>F282-G282</f>
        <v/>
      </c>
      <c r="I282" s="33">
        <f>IF('Your debts'!$F$6="",0,MIN(H282,MAX(0,MAX(0,'Your debts'!$C$19-(G282+L282+Q282+V282+AA282+AF282+AK282+AP282+AU282+AZ282))-(IF(AND('Your debts'!$F$7&lt;&gt;"",'Your debts'!$F$6&lt;&gt;"",'Your debts'!$F$7&lt;'Your debts'!$F$6),M282,0)+IF(AND('Your debts'!$F$8&lt;&gt;"",'Your debts'!$F$6&lt;&gt;"",'Your debts'!$F$8&lt;'Your debts'!$F$6),R282,0)+IF(AND('Your debts'!$F$9&lt;&gt;"",'Your debts'!$F$6&lt;&gt;"",'Your debts'!$F$9&lt;'Your debts'!$F$6),W282,0)+IF(AND('Your debts'!$F$10&lt;&gt;"",'Your debts'!$F$6&lt;&gt;"",'Your debts'!$F$10&lt;'Your debts'!$F$6),AB282,0)+IF(AND('Your debts'!$F$11&lt;&gt;"",'Your debts'!$F$6&lt;&gt;"",'Your debts'!$F$11&lt;'Your debts'!$F$6),AG282,0)+IF(AND('Your debts'!$F$12&lt;&gt;"",'Your debts'!$F$6&lt;&gt;"",'Your debts'!$F$12&lt;'Your debts'!$F$6),AL282,0)+IF(AND('Your debts'!$F$13&lt;&gt;"",'Your debts'!$F$6&lt;&gt;"",'Your debts'!$F$13&lt;'Your debts'!$F$6),AQ282,0)+IF(AND('Your debts'!$F$14&lt;&gt;"",'Your debts'!$F$6&lt;&gt;"",'Your debts'!$F$14&lt;'Your debts'!$F$6),AV282,0)+IF(AND('Your debts'!$F$15&lt;&gt;"",'Your debts'!$F$6&lt;&gt;"",'Your debts'!$F$15&lt;'Your debts'!$F$6),BA282,0)))))</f>
        <v/>
      </c>
      <c r="J282" s="33">
        <f>H282-I282</f>
        <v/>
      </c>
      <c r="K282" s="33">
        <f>IF(O281&lt;=0,0,ROUND(O281*(1+'Your debts'!$D$7/1200),2))</f>
        <v/>
      </c>
      <c r="L282" s="33">
        <f>IF(K282&lt;=0,0,MIN('Your debts'!$E$7,K282))</f>
        <v/>
      </c>
      <c r="M282" s="33">
        <f>K282-L282</f>
        <v/>
      </c>
      <c r="N282" s="33">
        <f>IF('Your debts'!$F$7="",0,MIN(M282,MAX(0,MAX(0,'Your debts'!$C$19-(G282+L282+Q282+V282+AA282+AF282+AK282+AP282+AU282+AZ282))-(IF(AND('Your debts'!$F$6&lt;&gt;"",'Your debts'!$F$7&lt;&gt;"",'Your debts'!$F$6&lt;'Your debts'!$F$7),H282,0)+IF(AND('Your debts'!$F$8&lt;&gt;"",'Your debts'!$F$7&lt;&gt;"",'Your debts'!$F$8&lt;'Your debts'!$F$7),R282,0)+IF(AND('Your debts'!$F$9&lt;&gt;"",'Your debts'!$F$7&lt;&gt;"",'Your debts'!$F$9&lt;'Your debts'!$F$7),W282,0)+IF(AND('Your debts'!$F$10&lt;&gt;"",'Your debts'!$F$7&lt;&gt;"",'Your debts'!$F$10&lt;'Your debts'!$F$7),AB282,0)+IF(AND('Your debts'!$F$11&lt;&gt;"",'Your debts'!$F$7&lt;&gt;"",'Your debts'!$F$11&lt;'Your debts'!$F$7),AG282,0)+IF(AND('Your debts'!$F$12&lt;&gt;"",'Your debts'!$F$7&lt;&gt;"",'Your debts'!$F$12&lt;'Your debts'!$F$7),AL282,0)+IF(AND('Your debts'!$F$13&lt;&gt;"",'Your debts'!$F$7&lt;&gt;"",'Your debts'!$F$13&lt;'Your debts'!$F$7),AQ282,0)+IF(AND('Your debts'!$F$14&lt;&gt;"",'Your debts'!$F$7&lt;&gt;"",'Your debts'!$F$14&lt;'Your debts'!$F$7),AV282,0)+IF(AND('Your debts'!$F$15&lt;&gt;"",'Your debts'!$F$7&lt;&gt;"",'Your debts'!$F$15&lt;'Your debts'!$F$7),BA282,0)))))</f>
        <v/>
      </c>
      <c r="O282" s="33">
        <f>M282-N282</f>
        <v/>
      </c>
      <c r="P282" s="33">
        <f>IF(T281&lt;=0,0,ROUND(T281*(1+'Your debts'!$D$8/1200),2))</f>
        <v/>
      </c>
      <c r="Q282" s="33">
        <f>IF(P282&lt;=0,0,MIN('Your debts'!$E$8,P282))</f>
        <v/>
      </c>
      <c r="R282" s="33">
        <f>P282-Q282</f>
        <v/>
      </c>
      <c r="S282" s="33">
        <f>IF('Your debts'!$F$8="",0,MIN(R282,MAX(0,MAX(0,'Your debts'!$C$19-(G282+L282+Q282+V282+AA282+AF282+AK282+AP282+AU282+AZ282))-(IF(AND('Your debts'!$F$6&lt;&gt;"",'Your debts'!$F$8&lt;&gt;"",'Your debts'!$F$6&lt;'Your debts'!$F$8),H282,0)+IF(AND('Your debts'!$F$7&lt;&gt;"",'Your debts'!$F$8&lt;&gt;"",'Your debts'!$F$7&lt;'Your debts'!$F$8),M282,0)+IF(AND('Your debts'!$F$9&lt;&gt;"",'Your debts'!$F$8&lt;&gt;"",'Your debts'!$F$9&lt;'Your debts'!$F$8),W282,0)+IF(AND('Your debts'!$F$10&lt;&gt;"",'Your debts'!$F$8&lt;&gt;"",'Your debts'!$F$10&lt;'Your debts'!$F$8),AB282,0)+IF(AND('Your debts'!$F$11&lt;&gt;"",'Your debts'!$F$8&lt;&gt;"",'Your debts'!$F$11&lt;'Your debts'!$F$8),AG282,0)+IF(AND('Your debts'!$F$12&lt;&gt;"",'Your debts'!$F$8&lt;&gt;"",'Your debts'!$F$12&lt;'Your debts'!$F$8),AL282,0)+IF(AND('Your debts'!$F$13&lt;&gt;"",'Your debts'!$F$8&lt;&gt;"",'Your debts'!$F$13&lt;'Your debts'!$F$8),AQ282,0)+IF(AND('Your debts'!$F$14&lt;&gt;"",'Your debts'!$F$8&lt;&gt;"",'Your debts'!$F$14&lt;'Your debts'!$F$8),AV282,0)+IF(AND('Your debts'!$F$15&lt;&gt;"",'Your debts'!$F$8&lt;&gt;"",'Your debts'!$F$15&lt;'Your debts'!$F$8),BA282,0)))))</f>
        <v/>
      </c>
      <c r="T282" s="33">
        <f>R282-S282</f>
        <v/>
      </c>
      <c r="U282" s="33">
        <f>IF(Y281&lt;=0,0,ROUND(Y281*(1+'Your debts'!$D$9/1200),2))</f>
        <v/>
      </c>
      <c r="V282" s="33">
        <f>IF(U282&lt;=0,0,MIN('Your debts'!$E$9,U282))</f>
        <v/>
      </c>
      <c r="W282" s="33">
        <f>U282-V282</f>
        <v/>
      </c>
      <c r="X282" s="33">
        <f>IF('Your debts'!$F$9="",0,MIN(W282,MAX(0,MAX(0,'Your debts'!$C$19-(G282+L282+Q282+V282+AA282+AF282+AK282+AP282+AU282+AZ282))-(IF(AND('Your debts'!$F$6&lt;&gt;"",'Your debts'!$F$9&lt;&gt;"",'Your debts'!$F$6&lt;'Your debts'!$F$9),H282,0)+IF(AND('Your debts'!$F$7&lt;&gt;"",'Your debts'!$F$9&lt;&gt;"",'Your debts'!$F$7&lt;'Your debts'!$F$9),M282,0)+IF(AND('Your debts'!$F$8&lt;&gt;"",'Your debts'!$F$9&lt;&gt;"",'Your debts'!$F$8&lt;'Your debts'!$F$9),R282,0)+IF(AND('Your debts'!$F$10&lt;&gt;"",'Your debts'!$F$9&lt;&gt;"",'Your debts'!$F$10&lt;'Your debts'!$F$9),AB282,0)+IF(AND('Your debts'!$F$11&lt;&gt;"",'Your debts'!$F$9&lt;&gt;"",'Your debts'!$F$11&lt;'Your debts'!$F$9),AG282,0)+IF(AND('Your debts'!$F$12&lt;&gt;"",'Your debts'!$F$9&lt;&gt;"",'Your debts'!$F$12&lt;'Your debts'!$F$9),AL282,0)+IF(AND('Your debts'!$F$13&lt;&gt;"",'Your debts'!$F$9&lt;&gt;"",'Your debts'!$F$13&lt;'Your debts'!$F$9),AQ282,0)+IF(AND('Your debts'!$F$14&lt;&gt;"",'Your debts'!$F$9&lt;&gt;"",'Your debts'!$F$14&lt;'Your debts'!$F$9),AV282,0)+IF(AND('Your debts'!$F$15&lt;&gt;"",'Your debts'!$F$9&lt;&gt;"",'Your debts'!$F$15&lt;'Your debts'!$F$9),BA282,0)))))</f>
        <v/>
      </c>
      <c r="Y282" s="33">
        <f>W282-X282</f>
        <v/>
      </c>
      <c r="Z282" s="33">
        <f>IF(AD281&lt;=0,0,ROUND(AD281*(1+'Your debts'!$D$10/1200),2))</f>
        <v/>
      </c>
      <c r="AA282" s="33">
        <f>IF(Z282&lt;=0,0,MIN('Your debts'!$E$10,Z282))</f>
        <v/>
      </c>
      <c r="AB282" s="33">
        <f>Z282-AA282</f>
        <v/>
      </c>
      <c r="AC282" s="33">
        <f>IF('Your debts'!$F$10="",0,MIN(AB282,MAX(0,MAX(0,'Your debts'!$C$19-(G282+L282+Q282+V282+AA282+AF282+AK282+AP282+AU282+AZ282))-(IF(AND('Your debts'!$F$6&lt;&gt;"",'Your debts'!$F$10&lt;&gt;"",'Your debts'!$F$6&lt;'Your debts'!$F$10),H282,0)+IF(AND('Your debts'!$F$7&lt;&gt;"",'Your debts'!$F$10&lt;&gt;"",'Your debts'!$F$7&lt;'Your debts'!$F$10),M282,0)+IF(AND('Your debts'!$F$8&lt;&gt;"",'Your debts'!$F$10&lt;&gt;"",'Your debts'!$F$8&lt;'Your debts'!$F$10),R282,0)+IF(AND('Your debts'!$F$9&lt;&gt;"",'Your debts'!$F$10&lt;&gt;"",'Your debts'!$F$9&lt;'Your debts'!$F$10),W282,0)+IF(AND('Your debts'!$F$11&lt;&gt;"",'Your debts'!$F$10&lt;&gt;"",'Your debts'!$F$11&lt;'Your debts'!$F$10),AG282,0)+IF(AND('Your debts'!$F$12&lt;&gt;"",'Your debts'!$F$10&lt;&gt;"",'Your debts'!$F$12&lt;'Your debts'!$F$10),AL282,0)+IF(AND('Your debts'!$F$13&lt;&gt;"",'Your debts'!$F$10&lt;&gt;"",'Your debts'!$F$13&lt;'Your debts'!$F$10),AQ282,0)+IF(AND('Your debts'!$F$14&lt;&gt;"",'Your debts'!$F$10&lt;&gt;"",'Your debts'!$F$14&lt;'Your debts'!$F$10),AV282,0)+IF(AND('Your debts'!$F$15&lt;&gt;"",'Your debts'!$F$10&lt;&gt;"",'Your debts'!$F$15&lt;'Your debts'!$F$10),BA282,0)))))</f>
        <v/>
      </c>
      <c r="AD282" s="33">
        <f>AB282-AC282</f>
        <v/>
      </c>
      <c r="AE282" s="33">
        <f>IF(AI281&lt;=0,0,ROUND(AI281*(1+'Your debts'!$D$11/1200),2))</f>
        <v/>
      </c>
      <c r="AF282" s="33">
        <f>IF(AE282&lt;=0,0,MIN('Your debts'!$E$11,AE282))</f>
        <v/>
      </c>
      <c r="AG282" s="33">
        <f>AE282-AF282</f>
        <v/>
      </c>
      <c r="AH282" s="33">
        <f>IF('Your debts'!$F$11="",0,MIN(AG282,MAX(0,MAX(0,'Your debts'!$C$19-(G282+L282+Q282+V282+AA282+AF282+AK282+AP282+AU282+AZ282))-(IF(AND('Your debts'!$F$6&lt;&gt;"",'Your debts'!$F$11&lt;&gt;"",'Your debts'!$F$6&lt;'Your debts'!$F$11),H282,0)+IF(AND('Your debts'!$F$7&lt;&gt;"",'Your debts'!$F$11&lt;&gt;"",'Your debts'!$F$7&lt;'Your debts'!$F$11),M282,0)+IF(AND('Your debts'!$F$8&lt;&gt;"",'Your debts'!$F$11&lt;&gt;"",'Your debts'!$F$8&lt;'Your debts'!$F$11),R282,0)+IF(AND('Your debts'!$F$9&lt;&gt;"",'Your debts'!$F$11&lt;&gt;"",'Your debts'!$F$9&lt;'Your debts'!$F$11),W282,0)+IF(AND('Your debts'!$F$10&lt;&gt;"",'Your debts'!$F$11&lt;&gt;"",'Your debts'!$F$10&lt;'Your debts'!$F$11),AB282,0)+IF(AND('Your debts'!$F$12&lt;&gt;"",'Your debts'!$F$11&lt;&gt;"",'Your debts'!$F$12&lt;'Your debts'!$F$11),AL282,0)+IF(AND('Your debts'!$F$13&lt;&gt;"",'Your debts'!$F$11&lt;&gt;"",'Your debts'!$F$13&lt;'Your debts'!$F$11),AQ282,0)+IF(AND('Your debts'!$F$14&lt;&gt;"",'Your debts'!$F$11&lt;&gt;"",'Your debts'!$F$14&lt;'Your debts'!$F$11),AV282,0)+IF(AND('Your debts'!$F$15&lt;&gt;"",'Your debts'!$F$11&lt;&gt;"",'Your debts'!$F$15&lt;'Your debts'!$F$11),BA282,0)))))</f>
        <v/>
      </c>
      <c r="AI282" s="33">
        <f>AG282-AH282</f>
        <v/>
      </c>
      <c r="AJ282" s="33">
        <f>IF(AN281&lt;=0,0,ROUND(AN281*(1+'Your debts'!$D$12/1200),2))</f>
        <v/>
      </c>
      <c r="AK282" s="33">
        <f>IF(AJ282&lt;=0,0,MIN('Your debts'!$E$12,AJ282))</f>
        <v/>
      </c>
      <c r="AL282" s="33">
        <f>AJ282-AK282</f>
        <v/>
      </c>
      <c r="AM282" s="33">
        <f>IF('Your debts'!$F$12="",0,MIN(AL282,MAX(0,MAX(0,'Your debts'!$C$19-(G282+L282+Q282+V282+AA282+AF282+AK282+AP282+AU282+AZ282))-(IF(AND('Your debts'!$F$6&lt;&gt;"",'Your debts'!$F$12&lt;&gt;"",'Your debts'!$F$6&lt;'Your debts'!$F$12),H282,0)+IF(AND('Your debts'!$F$7&lt;&gt;"",'Your debts'!$F$12&lt;&gt;"",'Your debts'!$F$7&lt;'Your debts'!$F$12),M282,0)+IF(AND('Your debts'!$F$8&lt;&gt;"",'Your debts'!$F$12&lt;&gt;"",'Your debts'!$F$8&lt;'Your debts'!$F$12),R282,0)+IF(AND('Your debts'!$F$9&lt;&gt;"",'Your debts'!$F$12&lt;&gt;"",'Your debts'!$F$9&lt;'Your debts'!$F$12),W282,0)+IF(AND('Your debts'!$F$10&lt;&gt;"",'Your debts'!$F$12&lt;&gt;"",'Your debts'!$F$10&lt;'Your debts'!$F$12),AB282,0)+IF(AND('Your debts'!$F$11&lt;&gt;"",'Your debts'!$F$12&lt;&gt;"",'Your debts'!$F$11&lt;'Your debts'!$F$12),AG282,0)+IF(AND('Your debts'!$F$13&lt;&gt;"",'Your debts'!$F$12&lt;&gt;"",'Your debts'!$F$13&lt;'Your debts'!$F$12),AQ282,0)+IF(AND('Your debts'!$F$14&lt;&gt;"",'Your debts'!$F$12&lt;&gt;"",'Your debts'!$F$14&lt;'Your debts'!$F$12),AV282,0)+IF(AND('Your debts'!$F$15&lt;&gt;"",'Your debts'!$F$12&lt;&gt;"",'Your debts'!$F$15&lt;'Your debts'!$F$12),BA282,0)))))</f>
        <v/>
      </c>
      <c r="AN282" s="33">
        <f>AL282-AM282</f>
        <v/>
      </c>
      <c r="AO282" s="33">
        <f>IF(AS281&lt;=0,0,ROUND(AS281*(1+'Your debts'!$D$13/1200),2))</f>
        <v/>
      </c>
      <c r="AP282" s="33">
        <f>IF(AO282&lt;=0,0,MIN('Your debts'!$E$13,AO282))</f>
        <v/>
      </c>
      <c r="AQ282" s="33">
        <f>AO282-AP282</f>
        <v/>
      </c>
      <c r="AR282" s="33">
        <f>IF('Your debts'!$F$13="",0,MIN(AQ282,MAX(0,MAX(0,'Your debts'!$C$19-(G282+L282+Q282+V282+AA282+AF282+AK282+AP282+AU282+AZ282))-(IF(AND('Your debts'!$F$6&lt;&gt;"",'Your debts'!$F$13&lt;&gt;"",'Your debts'!$F$6&lt;'Your debts'!$F$13),H282,0)+IF(AND('Your debts'!$F$7&lt;&gt;"",'Your debts'!$F$13&lt;&gt;"",'Your debts'!$F$7&lt;'Your debts'!$F$13),M282,0)+IF(AND('Your debts'!$F$8&lt;&gt;"",'Your debts'!$F$13&lt;&gt;"",'Your debts'!$F$8&lt;'Your debts'!$F$13),R282,0)+IF(AND('Your debts'!$F$9&lt;&gt;"",'Your debts'!$F$13&lt;&gt;"",'Your debts'!$F$9&lt;'Your debts'!$F$13),W282,0)+IF(AND('Your debts'!$F$10&lt;&gt;"",'Your debts'!$F$13&lt;&gt;"",'Your debts'!$F$10&lt;'Your debts'!$F$13),AB282,0)+IF(AND('Your debts'!$F$11&lt;&gt;"",'Your debts'!$F$13&lt;&gt;"",'Your debts'!$F$11&lt;'Your debts'!$F$13),AG282,0)+IF(AND('Your debts'!$F$12&lt;&gt;"",'Your debts'!$F$13&lt;&gt;"",'Your debts'!$F$12&lt;'Your debts'!$F$13),AL282,0)+IF(AND('Your debts'!$F$14&lt;&gt;"",'Your debts'!$F$13&lt;&gt;"",'Your debts'!$F$14&lt;'Your debts'!$F$13),AV282,0)+IF(AND('Your debts'!$F$15&lt;&gt;"",'Your debts'!$F$13&lt;&gt;"",'Your debts'!$F$15&lt;'Your debts'!$F$13),BA282,0)))))</f>
        <v/>
      </c>
      <c r="AS282" s="33">
        <f>AQ282-AR282</f>
        <v/>
      </c>
      <c r="AT282" s="33">
        <f>IF(AX281&lt;=0,0,ROUND(AX281*(1+'Your debts'!$D$14/1200),2))</f>
        <v/>
      </c>
      <c r="AU282" s="33">
        <f>IF(AT282&lt;=0,0,MIN('Your debts'!$E$14,AT282))</f>
        <v/>
      </c>
      <c r="AV282" s="33">
        <f>AT282-AU282</f>
        <v/>
      </c>
      <c r="AW282" s="33">
        <f>IF('Your debts'!$F$14="",0,MIN(AV282,MAX(0,MAX(0,'Your debts'!$C$19-(G282+L282+Q282+V282+AA282+AF282+AK282+AP282+AU282+AZ282))-(IF(AND('Your debts'!$F$6&lt;&gt;"",'Your debts'!$F$14&lt;&gt;"",'Your debts'!$F$6&lt;'Your debts'!$F$14),H282,0)+IF(AND('Your debts'!$F$7&lt;&gt;"",'Your debts'!$F$14&lt;&gt;"",'Your debts'!$F$7&lt;'Your debts'!$F$14),M282,0)+IF(AND('Your debts'!$F$8&lt;&gt;"",'Your debts'!$F$14&lt;&gt;"",'Your debts'!$F$8&lt;'Your debts'!$F$14),R282,0)+IF(AND('Your debts'!$F$9&lt;&gt;"",'Your debts'!$F$14&lt;&gt;"",'Your debts'!$F$9&lt;'Your debts'!$F$14),W282,0)+IF(AND('Your debts'!$F$10&lt;&gt;"",'Your debts'!$F$14&lt;&gt;"",'Your debts'!$F$10&lt;'Your debts'!$F$14),AB282,0)+IF(AND('Your debts'!$F$11&lt;&gt;"",'Your debts'!$F$14&lt;&gt;"",'Your debts'!$F$11&lt;'Your debts'!$F$14),AG282,0)+IF(AND('Your debts'!$F$12&lt;&gt;"",'Your debts'!$F$14&lt;&gt;"",'Your debts'!$F$12&lt;'Your debts'!$F$14),AL282,0)+IF(AND('Your debts'!$F$13&lt;&gt;"",'Your debts'!$F$14&lt;&gt;"",'Your debts'!$F$13&lt;'Your debts'!$F$14),AQ282,0)+IF(AND('Your debts'!$F$15&lt;&gt;"",'Your debts'!$F$14&lt;&gt;"",'Your debts'!$F$15&lt;'Your debts'!$F$14),BA282,0)))))</f>
        <v/>
      </c>
      <c r="AX282" s="33">
        <f>AV282-AW282</f>
        <v/>
      </c>
      <c r="AY282" s="33">
        <f>IF(BC281&lt;=0,0,ROUND(BC281*(1+'Your debts'!$D$15/1200),2))</f>
        <v/>
      </c>
      <c r="AZ282" s="33">
        <f>IF(AY282&lt;=0,0,MIN('Your debts'!$E$15,AY282))</f>
        <v/>
      </c>
      <c r="BA282" s="33">
        <f>AY282-AZ282</f>
        <v/>
      </c>
      <c r="BB282" s="33">
        <f>IF('Your debts'!$F$15="",0,MIN(BA282,MAX(0,MAX(0,'Your debts'!$C$19-(G282+L282+Q282+V282+AA282+AF282+AK282+AP282+AU282+AZ282))-(IF(AND('Your debts'!$F$6&lt;&gt;"",'Your debts'!$F$15&lt;&gt;"",'Your debts'!$F$6&lt;'Your debts'!$F$15),H282,0)+IF(AND('Your debts'!$F$7&lt;&gt;"",'Your debts'!$F$15&lt;&gt;"",'Your debts'!$F$7&lt;'Your debts'!$F$15),M282,0)+IF(AND('Your debts'!$F$8&lt;&gt;"",'Your debts'!$F$15&lt;&gt;"",'Your debts'!$F$8&lt;'Your debts'!$F$15),R282,0)+IF(AND('Your debts'!$F$9&lt;&gt;"",'Your debts'!$F$15&lt;&gt;"",'Your debts'!$F$9&lt;'Your debts'!$F$15),W282,0)+IF(AND('Your debts'!$F$10&lt;&gt;"",'Your debts'!$F$15&lt;&gt;"",'Your debts'!$F$10&lt;'Your debts'!$F$15),AB282,0)+IF(AND('Your debts'!$F$11&lt;&gt;"",'Your debts'!$F$15&lt;&gt;"",'Your debts'!$F$11&lt;'Your debts'!$F$15),AG282,0)+IF(AND('Your debts'!$F$12&lt;&gt;"",'Your debts'!$F$15&lt;&gt;"",'Your debts'!$F$12&lt;'Your debts'!$F$15),AL282,0)+IF(AND('Your debts'!$F$13&lt;&gt;"",'Your debts'!$F$15&lt;&gt;"",'Your debts'!$F$13&lt;'Your debts'!$F$15),AQ282,0)+IF(AND('Your debts'!$F$14&lt;&gt;"",'Your debts'!$F$15&lt;&gt;"",'Your debts'!$F$14&lt;'Your debts'!$F$15),AV282,0)))))</f>
        <v/>
      </c>
      <c r="BC282" s="33">
        <f>BA282-BB282</f>
        <v/>
      </c>
    </row>
    <row r="283">
      <c r="A283" s="30" t="n">
        <v>268</v>
      </c>
      <c r="B283" s="31">
        <f>EDATE($B$15,268)</f>
        <v/>
      </c>
      <c r="C283" s="32">
        <f>IF(J282&lt;=0,0,F283-J282)+IF(O282&lt;=0,0,K283-O282)+IF(T282&lt;=0,0,P283-T282)+IF(Y282&lt;=0,0,U283-Y282)+IF(AD282&lt;=0,0,Z283-AD282)+IF(AI282&lt;=0,0,AE283-AI282)+IF(AN282&lt;=0,0,AJ283-AN282)+IF(AS282&lt;=0,0,AO283-AS282)+IF(AX282&lt;=0,0,AT283-AX282)+IF(BC282&lt;=0,0,AY283-BC282)</f>
        <v/>
      </c>
      <c r="D283" s="32">
        <f>G283+I283+L283+N283+Q283+S283+V283+X283+AA283+AC283+AF283+AH283+AK283+AM283+AP283+AR283+AU283+AW283+AZ283+BB283</f>
        <v/>
      </c>
      <c r="E283" s="32">
        <f>J283+O283+T283+Y283+AD283+AI283+AN283+AS283+AX283+BC283</f>
        <v/>
      </c>
      <c r="F283" s="33">
        <f>IF(J282&lt;=0,0,ROUND(J282*(1+'Your debts'!$D$6/1200),2))</f>
        <v/>
      </c>
      <c r="G283" s="33">
        <f>IF(F283&lt;=0,0,MIN('Your debts'!$E$6,F283))</f>
        <v/>
      </c>
      <c r="H283" s="33">
        <f>F283-G283</f>
        <v/>
      </c>
      <c r="I283" s="33">
        <f>IF('Your debts'!$F$6="",0,MIN(H283,MAX(0,MAX(0,'Your debts'!$C$19-(G283+L283+Q283+V283+AA283+AF283+AK283+AP283+AU283+AZ283))-(IF(AND('Your debts'!$F$7&lt;&gt;"",'Your debts'!$F$6&lt;&gt;"",'Your debts'!$F$7&lt;'Your debts'!$F$6),M283,0)+IF(AND('Your debts'!$F$8&lt;&gt;"",'Your debts'!$F$6&lt;&gt;"",'Your debts'!$F$8&lt;'Your debts'!$F$6),R283,0)+IF(AND('Your debts'!$F$9&lt;&gt;"",'Your debts'!$F$6&lt;&gt;"",'Your debts'!$F$9&lt;'Your debts'!$F$6),W283,0)+IF(AND('Your debts'!$F$10&lt;&gt;"",'Your debts'!$F$6&lt;&gt;"",'Your debts'!$F$10&lt;'Your debts'!$F$6),AB283,0)+IF(AND('Your debts'!$F$11&lt;&gt;"",'Your debts'!$F$6&lt;&gt;"",'Your debts'!$F$11&lt;'Your debts'!$F$6),AG283,0)+IF(AND('Your debts'!$F$12&lt;&gt;"",'Your debts'!$F$6&lt;&gt;"",'Your debts'!$F$12&lt;'Your debts'!$F$6),AL283,0)+IF(AND('Your debts'!$F$13&lt;&gt;"",'Your debts'!$F$6&lt;&gt;"",'Your debts'!$F$13&lt;'Your debts'!$F$6),AQ283,0)+IF(AND('Your debts'!$F$14&lt;&gt;"",'Your debts'!$F$6&lt;&gt;"",'Your debts'!$F$14&lt;'Your debts'!$F$6),AV283,0)+IF(AND('Your debts'!$F$15&lt;&gt;"",'Your debts'!$F$6&lt;&gt;"",'Your debts'!$F$15&lt;'Your debts'!$F$6),BA283,0)))))</f>
        <v/>
      </c>
      <c r="J283" s="33">
        <f>H283-I283</f>
        <v/>
      </c>
      <c r="K283" s="33">
        <f>IF(O282&lt;=0,0,ROUND(O282*(1+'Your debts'!$D$7/1200),2))</f>
        <v/>
      </c>
      <c r="L283" s="33">
        <f>IF(K283&lt;=0,0,MIN('Your debts'!$E$7,K283))</f>
        <v/>
      </c>
      <c r="M283" s="33">
        <f>K283-L283</f>
        <v/>
      </c>
      <c r="N283" s="33">
        <f>IF('Your debts'!$F$7="",0,MIN(M283,MAX(0,MAX(0,'Your debts'!$C$19-(G283+L283+Q283+V283+AA283+AF283+AK283+AP283+AU283+AZ283))-(IF(AND('Your debts'!$F$6&lt;&gt;"",'Your debts'!$F$7&lt;&gt;"",'Your debts'!$F$6&lt;'Your debts'!$F$7),H283,0)+IF(AND('Your debts'!$F$8&lt;&gt;"",'Your debts'!$F$7&lt;&gt;"",'Your debts'!$F$8&lt;'Your debts'!$F$7),R283,0)+IF(AND('Your debts'!$F$9&lt;&gt;"",'Your debts'!$F$7&lt;&gt;"",'Your debts'!$F$9&lt;'Your debts'!$F$7),W283,0)+IF(AND('Your debts'!$F$10&lt;&gt;"",'Your debts'!$F$7&lt;&gt;"",'Your debts'!$F$10&lt;'Your debts'!$F$7),AB283,0)+IF(AND('Your debts'!$F$11&lt;&gt;"",'Your debts'!$F$7&lt;&gt;"",'Your debts'!$F$11&lt;'Your debts'!$F$7),AG283,0)+IF(AND('Your debts'!$F$12&lt;&gt;"",'Your debts'!$F$7&lt;&gt;"",'Your debts'!$F$12&lt;'Your debts'!$F$7),AL283,0)+IF(AND('Your debts'!$F$13&lt;&gt;"",'Your debts'!$F$7&lt;&gt;"",'Your debts'!$F$13&lt;'Your debts'!$F$7),AQ283,0)+IF(AND('Your debts'!$F$14&lt;&gt;"",'Your debts'!$F$7&lt;&gt;"",'Your debts'!$F$14&lt;'Your debts'!$F$7),AV283,0)+IF(AND('Your debts'!$F$15&lt;&gt;"",'Your debts'!$F$7&lt;&gt;"",'Your debts'!$F$15&lt;'Your debts'!$F$7),BA283,0)))))</f>
        <v/>
      </c>
      <c r="O283" s="33">
        <f>M283-N283</f>
        <v/>
      </c>
      <c r="P283" s="33">
        <f>IF(T282&lt;=0,0,ROUND(T282*(1+'Your debts'!$D$8/1200),2))</f>
        <v/>
      </c>
      <c r="Q283" s="33">
        <f>IF(P283&lt;=0,0,MIN('Your debts'!$E$8,P283))</f>
        <v/>
      </c>
      <c r="R283" s="33">
        <f>P283-Q283</f>
        <v/>
      </c>
      <c r="S283" s="33">
        <f>IF('Your debts'!$F$8="",0,MIN(R283,MAX(0,MAX(0,'Your debts'!$C$19-(G283+L283+Q283+V283+AA283+AF283+AK283+AP283+AU283+AZ283))-(IF(AND('Your debts'!$F$6&lt;&gt;"",'Your debts'!$F$8&lt;&gt;"",'Your debts'!$F$6&lt;'Your debts'!$F$8),H283,0)+IF(AND('Your debts'!$F$7&lt;&gt;"",'Your debts'!$F$8&lt;&gt;"",'Your debts'!$F$7&lt;'Your debts'!$F$8),M283,0)+IF(AND('Your debts'!$F$9&lt;&gt;"",'Your debts'!$F$8&lt;&gt;"",'Your debts'!$F$9&lt;'Your debts'!$F$8),W283,0)+IF(AND('Your debts'!$F$10&lt;&gt;"",'Your debts'!$F$8&lt;&gt;"",'Your debts'!$F$10&lt;'Your debts'!$F$8),AB283,0)+IF(AND('Your debts'!$F$11&lt;&gt;"",'Your debts'!$F$8&lt;&gt;"",'Your debts'!$F$11&lt;'Your debts'!$F$8),AG283,0)+IF(AND('Your debts'!$F$12&lt;&gt;"",'Your debts'!$F$8&lt;&gt;"",'Your debts'!$F$12&lt;'Your debts'!$F$8),AL283,0)+IF(AND('Your debts'!$F$13&lt;&gt;"",'Your debts'!$F$8&lt;&gt;"",'Your debts'!$F$13&lt;'Your debts'!$F$8),AQ283,0)+IF(AND('Your debts'!$F$14&lt;&gt;"",'Your debts'!$F$8&lt;&gt;"",'Your debts'!$F$14&lt;'Your debts'!$F$8),AV283,0)+IF(AND('Your debts'!$F$15&lt;&gt;"",'Your debts'!$F$8&lt;&gt;"",'Your debts'!$F$15&lt;'Your debts'!$F$8),BA283,0)))))</f>
        <v/>
      </c>
      <c r="T283" s="33">
        <f>R283-S283</f>
        <v/>
      </c>
      <c r="U283" s="33">
        <f>IF(Y282&lt;=0,0,ROUND(Y282*(1+'Your debts'!$D$9/1200),2))</f>
        <v/>
      </c>
      <c r="V283" s="33">
        <f>IF(U283&lt;=0,0,MIN('Your debts'!$E$9,U283))</f>
        <v/>
      </c>
      <c r="W283" s="33">
        <f>U283-V283</f>
        <v/>
      </c>
      <c r="X283" s="33">
        <f>IF('Your debts'!$F$9="",0,MIN(W283,MAX(0,MAX(0,'Your debts'!$C$19-(G283+L283+Q283+V283+AA283+AF283+AK283+AP283+AU283+AZ283))-(IF(AND('Your debts'!$F$6&lt;&gt;"",'Your debts'!$F$9&lt;&gt;"",'Your debts'!$F$6&lt;'Your debts'!$F$9),H283,0)+IF(AND('Your debts'!$F$7&lt;&gt;"",'Your debts'!$F$9&lt;&gt;"",'Your debts'!$F$7&lt;'Your debts'!$F$9),M283,0)+IF(AND('Your debts'!$F$8&lt;&gt;"",'Your debts'!$F$9&lt;&gt;"",'Your debts'!$F$8&lt;'Your debts'!$F$9),R283,0)+IF(AND('Your debts'!$F$10&lt;&gt;"",'Your debts'!$F$9&lt;&gt;"",'Your debts'!$F$10&lt;'Your debts'!$F$9),AB283,0)+IF(AND('Your debts'!$F$11&lt;&gt;"",'Your debts'!$F$9&lt;&gt;"",'Your debts'!$F$11&lt;'Your debts'!$F$9),AG283,0)+IF(AND('Your debts'!$F$12&lt;&gt;"",'Your debts'!$F$9&lt;&gt;"",'Your debts'!$F$12&lt;'Your debts'!$F$9),AL283,0)+IF(AND('Your debts'!$F$13&lt;&gt;"",'Your debts'!$F$9&lt;&gt;"",'Your debts'!$F$13&lt;'Your debts'!$F$9),AQ283,0)+IF(AND('Your debts'!$F$14&lt;&gt;"",'Your debts'!$F$9&lt;&gt;"",'Your debts'!$F$14&lt;'Your debts'!$F$9),AV283,0)+IF(AND('Your debts'!$F$15&lt;&gt;"",'Your debts'!$F$9&lt;&gt;"",'Your debts'!$F$15&lt;'Your debts'!$F$9),BA283,0)))))</f>
        <v/>
      </c>
      <c r="Y283" s="33">
        <f>W283-X283</f>
        <v/>
      </c>
      <c r="Z283" s="33">
        <f>IF(AD282&lt;=0,0,ROUND(AD282*(1+'Your debts'!$D$10/1200),2))</f>
        <v/>
      </c>
      <c r="AA283" s="33">
        <f>IF(Z283&lt;=0,0,MIN('Your debts'!$E$10,Z283))</f>
        <v/>
      </c>
      <c r="AB283" s="33">
        <f>Z283-AA283</f>
        <v/>
      </c>
      <c r="AC283" s="33">
        <f>IF('Your debts'!$F$10="",0,MIN(AB283,MAX(0,MAX(0,'Your debts'!$C$19-(G283+L283+Q283+V283+AA283+AF283+AK283+AP283+AU283+AZ283))-(IF(AND('Your debts'!$F$6&lt;&gt;"",'Your debts'!$F$10&lt;&gt;"",'Your debts'!$F$6&lt;'Your debts'!$F$10),H283,0)+IF(AND('Your debts'!$F$7&lt;&gt;"",'Your debts'!$F$10&lt;&gt;"",'Your debts'!$F$7&lt;'Your debts'!$F$10),M283,0)+IF(AND('Your debts'!$F$8&lt;&gt;"",'Your debts'!$F$10&lt;&gt;"",'Your debts'!$F$8&lt;'Your debts'!$F$10),R283,0)+IF(AND('Your debts'!$F$9&lt;&gt;"",'Your debts'!$F$10&lt;&gt;"",'Your debts'!$F$9&lt;'Your debts'!$F$10),W283,0)+IF(AND('Your debts'!$F$11&lt;&gt;"",'Your debts'!$F$10&lt;&gt;"",'Your debts'!$F$11&lt;'Your debts'!$F$10),AG283,0)+IF(AND('Your debts'!$F$12&lt;&gt;"",'Your debts'!$F$10&lt;&gt;"",'Your debts'!$F$12&lt;'Your debts'!$F$10),AL283,0)+IF(AND('Your debts'!$F$13&lt;&gt;"",'Your debts'!$F$10&lt;&gt;"",'Your debts'!$F$13&lt;'Your debts'!$F$10),AQ283,0)+IF(AND('Your debts'!$F$14&lt;&gt;"",'Your debts'!$F$10&lt;&gt;"",'Your debts'!$F$14&lt;'Your debts'!$F$10),AV283,0)+IF(AND('Your debts'!$F$15&lt;&gt;"",'Your debts'!$F$10&lt;&gt;"",'Your debts'!$F$15&lt;'Your debts'!$F$10),BA283,0)))))</f>
        <v/>
      </c>
      <c r="AD283" s="33">
        <f>AB283-AC283</f>
        <v/>
      </c>
      <c r="AE283" s="33">
        <f>IF(AI282&lt;=0,0,ROUND(AI282*(1+'Your debts'!$D$11/1200),2))</f>
        <v/>
      </c>
      <c r="AF283" s="33">
        <f>IF(AE283&lt;=0,0,MIN('Your debts'!$E$11,AE283))</f>
        <v/>
      </c>
      <c r="AG283" s="33">
        <f>AE283-AF283</f>
        <v/>
      </c>
      <c r="AH283" s="33">
        <f>IF('Your debts'!$F$11="",0,MIN(AG283,MAX(0,MAX(0,'Your debts'!$C$19-(G283+L283+Q283+V283+AA283+AF283+AK283+AP283+AU283+AZ283))-(IF(AND('Your debts'!$F$6&lt;&gt;"",'Your debts'!$F$11&lt;&gt;"",'Your debts'!$F$6&lt;'Your debts'!$F$11),H283,0)+IF(AND('Your debts'!$F$7&lt;&gt;"",'Your debts'!$F$11&lt;&gt;"",'Your debts'!$F$7&lt;'Your debts'!$F$11),M283,0)+IF(AND('Your debts'!$F$8&lt;&gt;"",'Your debts'!$F$11&lt;&gt;"",'Your debts'!$F$8&lt;'Your debts'!$F$11),R283,0)+IF(AND('Your debts'!$F$9&lt;&gt;"",'Your debts'!$F$11&lt;&gt;"",'Your debts'!$F$9&lt;'Your debts'!$F$11),W283,0)+IF(AND('Your debts'!$F$10&lt;&gt;"",'Your debts'!$F$11&lt;&gt;"",'Your debts'!$F$10&lt;'Your debts'!$F$11),AB283,0)+IF(AND('Your debts'!$F$12&lt;&gt;"",'Your debts'!$F$11&lt;&gt;"",'Your debts'!$F$12&lt;'Your debts'!$F$11),AL283,0)+IF(AND('Your debts'!$F$13&lt;&gt;"",'Your debts'!$F$11&lt;&gt;"",'Your debts'!$F$13&lt;'Your debts'!$F$11),AQ283,0)+IF(AND('Your debts'!$F$14&lt;&gt;"",'Your debts'!$F$11&lt;&gt;"",'Your debts'!$F$14&lt;'Your debts'!$F$11),AV283,0)+IF(AND('Your debts'!$F$15&lt;&gt;"",'Your debts'!$F$11&lt;&gt;"",'Your debts'!$F$15&lt;'Your debts'!$F$11),BA283,0)))))</f>
        <v/>
      </c>
      <c r="AI283" s="33">
        <f>AG283-AH283</f>
        <v/>
      </c>
      <c r="AJ283" s="33">
        <f>IF(AN282&lt;=0,0,ROUND(AN282*(1+'Your debts'!$D$12/1200),2))</f>
        <v/>
      </c>
      <c r="AK283" s="33">
        <f>IF(AJ283&lt;=0,0,MIN('Your debts'!$E$12,AJ283))</f>
        <v/>
      </c>
      <c r="AL283" s="33">
        <f>AJ283-AK283</f>
        <v/>
      </c>
      <c r="AM283" s="33">
        <f>IF('Your debts'!$F$12="",0,MIN(AL283,MAX(0,MAX(0,'Your debts'!$C$19-(G283+L283+Q283+V283+AA283+AF283+AK283+AP283+AU283+AZ283))-(IF(AND('Your debts'!$F$6&lt;&gt;"",'Your debts'!$F$12&lt;&gt;"",'Your debts'!$F$6&lt;'Your debts'!$F$12),H283,0)+IF(AND('Your debts'!$F$7&lt;&gt;"",'Your debts'!$F$12&lt;&gt;"",'Your debts'!$F$7&lt;'Your debts'!$F$12),M283,0)+IF(AND('Your debts'!$F$8&lt;&gt;"",'Your debts'!$F$12&lt;&gt;"",'Your debts'!$F$8&lt;'Your debts'!$F$12),R283,0)+IF(AND('Your debts'!$F$9&lt;&gt;"",'Your debts'!$F$12&lt;&gt;"",'Your debts'!$F$9&lt;'Your debts'!$F$12),W283,0)+IF(AND('Your debts'!$F$10&lt;&gt;"",'Your debts'!$F$12&lt;&gt;"",'Your debts'!$F$10&lt;'Your debts'!$F$12),AB283,0)+IF(AND('Your debts'!$F$11&lt;&gt;"",'Your debts'!$F$12&lt;&gt;"",'Your debts'!$F$11&lt;'Your debts'!$F$12),AG283,0)+IF(AND('Your debts'!$F$13&lt;&gt;"",'Your debts'!$F$12&lt;&gt;"",'Your debts'!$F$13&lt;'Your debts'!$F$12),AQ283,0)+IF(AND('Your debts'!$F$14&lt;&gt;"",'Your debts'!$F$12&lt;&gt;"",'Your debts'!$F$14&lt;'Your debts'!$F$12),AV283,0)+IF(AND('Your debts'!$F$15&lt;&gt;"",'Your debts'!$F$12&lt;&gt;"",'Your debts'!$F$15&lt;'Your debts'!$F$12),BA283,0)))))</f>
        <v/>
      </c>
      <c r="AN283" s="33">
        <f>AL283-AM283</f>
        <v/>
      </c>
      <c r="AO283" s="33">
        <f>IF(AS282&lt;=0,0,ROUND(AS282*(1+'Your debts'!$D$13/1200),2))</f>
        <v/>
      </c>
      <c r="AP283" s="33">
        <f>IF(AO283&lt;=0,0,MIN('Your debts'!$E$13,AO283))</f>
        <v/>
      </c>
      <c r="AQ283" s="33">
        <f>AO283-AP283</f>
        <v/>
      </c>
      <c r="AR283" s="33">
        <f>IF('Your debts'!$F$13="",0,MIN(AQ283,MAX(0,MAX(0,'Your debts'!$C$19-(G283+L283+Q283+V283+AA283+AF283+AK283+AP283+AU283+AZ283))-(IF(AND('Your debts'!$F$6&lt;&gt;"",'Your debts'!$F$13&lt;&gt;"",'Your debts'!$F$6&lt;'Your debts'!$F$13),H283,0)+IF(AND('Your debts'!$F$7&lt;&gt;"",'Your debts'!$F$13&lt;&gt;"",'Your debts'!$F$7&lt;'Your debts'!$F$13),M283,0)+IF(AND('Your debts'!$F$8&lt;&gt;"",'Your debts'!$F$13&lt;&gt;"",'Your debts'!$F$8&lt;'Your debts'!$F$13),R283,0)+IF(AND('Your debts'!$F$9&lt;&gt;"",'Your debts'!$F$13&lt;&gt;"",'Your debts'!$F$9&lt;'Your debts'!$F$13),W283,0)+IF(AND('Your debts'!$F$10&lt;&gt;"",'Your debts'!$F$13&lt;&gt;"",'Your debts'!$F$10&lt;'Your debts'!$F$13),AB283,0)+IF(AND('Your debts'!$F$11&lt;&gt;"",'Your debts'!$F$13&lt;&gt;"",'Your debts'!$F$11&lt;'Your debts'!$F$13),AG283,0)+IF(AND('Your debts'!$F$12&lt;&gt;"",'Your debts'!$F$13&lt;&gt;"",'Your debts'!$F$12&lt;'Your debts'!$F$13),AL283,0)+IF(AND('Your debts'!$F$14&lt;&gt;"",'Your debts'!$F$13&lt;&gt;"",'Your debts'!$F$14&lt;'Your debts'!$F$13),AV283,0)+IF(AND('Your debts'!$F$15&lt;&gt;"",'Your debts'!$F$13&lt;&gt;"",'Your debts'!$F$15&lt;'Your debts'!$F$13),BA283,0)))))</f>
        <v/>
      </c>
      <c r="AS283" s="33">
        <f>AQ283-AR283</f>
        <v/>
      </c>
      <c r="AT283" s="33">
        <f>IF(AX282&lt;=0,0,ROUND(AX282*(1+'Your debts'!$D$14/1200),2))</f>
        <v/>
      </c>
      <c r="AU283" s="33">
        <f>IF(AT283&lt;=0,0,MIN('Your debts'!$E$14,AT283))</f>
        <v/>
      </c>
      <c r="AV283" s="33">
        <f>AT283-AU283</f>
        <v/>
      </c>
      <c r="AW283" s="33">
        <f>IF('Your debts'!$F$14="",0,MIN(AV283,MAX(0,MAX(0,'Your debts'!$C$19-(G283+L283+Q283+V283+AA283+AF283+AK283+AP283+AU283+AZ283))-(IF(AND('Your debts'!$F$6&lt;&gt;"",'Your debts'!$F$14&lt;&gt;"",'Your debts'!$F$6&lt;'Your debts'!$F$14),H283,0)+IF(AND('Your debts'!$F$7&lt;&gt;"",'Your debts'!$F$14&lt;&gt;"",'Your debts'!$F$7&lt;'Your debts'!$F$14),M283,0)+IF(AND('Your debts'!$F$8&lt;&gt;"",'Your debts'!$F$14&lt;&gt;"",'Your debts'!$F$8&lt;'Your debts'!$F$14),R283,0)+IF(AND('Your debts'!$F$9&lt;&gt;"",'Your debts'!$F$14&lt;&gt;"",'Your debts'!$F$9&lt;'Your debts'!$F$14),W283,0)+IF(AND('Your debts'!$F$10&lt;&gt;"",'Your debts'!$F$14&lt;&gt;"",'Your debts'!$F$10&lt;'Your debts'!$F$14),AB283,0)+IF(AND('Your debts'!$F$11&lt;&gt;"",'Your debts'!$F$14&lt;&gt;"",'Your debts'!$F$11&lt;'Your debts'!$F$14),AG283,0)+IF(AND('Your debts'!$F$12&lt;&gt;"",'Your debts'!$F$14&lt;&gt;"",'Your debts'!$F$12&lt;'Your debts'!$F$14),AL283,0)+IF(AND('Your debts'!$F$13&lt;&gt;"",'Your debts'!$F$14&lt;&gt;"",'Your debts'!$F$13&lt;'Your debts'!$F$14),AQ283,0)+IF(AND('Your debts'!$F$15&lt;&gt;"",'Your debts'!$F$14&lt;&gt;"",'Your debts'!$F$15&lt;'Your debts'!$F$14),BA283,0)))))</f>
        <v/>
      </c>
      <c r="AX283" s="33">
        <f>AV283-AW283</f>
        <v/>
      </c>
      <c r="AY283" s="33">
        <f>IF(BC282&lt;=0,0,ROUND(BC282*(1+'Your debts'!$D$15/1200),2))</f>
        <v/>
      </c>
      <c r="AZ283" s="33">
        <f>IF(AY283&lt;=0,0,MIN('Your debts'!$E$15,AY283))</f>
        <v/>
      </c>
      <c r="BA283" s="33">
        <f>AY283-AZ283</f>
        <v/>
      </c>
      <c r="BB283" s="33">
        <f>IF('Your debts'!$F$15="",0,MIN(BA283,MAX(0,MAX(0,'Your debts'!$C$19-(G283+L283+Q283+V283+AA283+AF283+AK283+AP283+AU283+AZ283))-(IF(AND('Your debts'!$F$6&lt;&gt;"",'Your debts'!$F$15&lt;&gt;"",'Your debts'!$F$6&lt;'Your debts'!$F$15),H283,0)+IF(AND('Your debts'!$F$7&lt;&gt;"",'Your debts'!$F$15&lt;&gt;"",'Your debts'!$F$7&lt;'Your debts'!$F$15),M283,0)+IF(AND('Your debts'!$F$8&lt;&gt;"",'Your debts'!$F$15&lt;&gt;"",'Your debts'!$F$8&lt;'Your debts'!$F$15),R283,0)+IF(AND('Your debts'!$F$9&lt;&gt;"",'Your debts'!$F$15&lt;&gt;"",'Your debts'!$F$9&lt;'Your debts'!$F$15),W283,0)+IF(AND('Your debts'!$F$10&lt;&gt;"",'Your debts'!$F$15&lt;&gt;"",'Your debts'!$F$10&lt;'Your debts'!$F$15),AB283,0)+IF(AND('Your debts'!$F$11&lt;&gt;"",'Your debts'!$F$15&lt;&gt;"",'Your debts'!$F$11&lt;'Your debts'!$F$15),AG283,0)+IF(AND('Your debts'!$F$12&lt;&gt;"",'Your debts'!$F$15&lt;&gt;"",'Your debts'!$F$12&lt;'Your debts'!$F$15),AL283,0)+IF(AND('Your debts'!$F$13&lt;&gt;"",'Your debts'!$F$15&lt;&gt;"",'Your debts'!$F$13&lt;'Your debts'!$F$15),AQ283,0)+IF(AND('Your debts'!$F$14&lt;&gt;"",'Your debts'!$F$15&lt;&gt;"",'Your debts'!$F$14&lt;'Your debts'!$F$15),AV283,0)))))</f>
        <v/>
      </c>
      <c r="BC283" s="33">
        <f>BA283-BB283</f>
        <v/>
      </c>
    </row>
    <row r="284">
      <c r="A284" s="30" t="n">
        <v>269</v>
      </c>
      <c r="B284" s="31">
        <f>EDATE($B$15,269)</f>
        <v/>
      </c>
      <c r="C284" s="32">
        <f>IF(J283&lt;=0,0,F284-J283)+IF(O283&lt;=0,0,K284-O283)+IF(T283&lt;=0,0,P284-T283)+IF(Y283&lt;=0,0,U284-Y283)+IF(AD283&lt;=0,0,Z284-AD283)+IF(AI283&lt;=0,0,AE284-AI283)+IF(AN283&lt;=0,0,AJ284-AN283)+IF(AS283&lt;=0,0,AO284-AS283)+IF(AX283&lt;=0,0,AT284-AX283)+IF(BC283&lt;=0,0,AY284-BC283)</f>
        <v/>
      </c>
      <c r="D284" s="32">
        <f>G284+I284+L284+N284+Q284+S284+V284+X284+AA284+AC284+AF284+AH284+AK284+AM284+AP284+AR284+AU284+AW284+AZ284+BB284</f>
        <v/>
      </c>
      <c r="E284" s="32">
        <f>J284+O284+T284+Y284+AD284+AI284+AN284+AS284+AX284+BC284</f>
        <v/>
      </c>
      <c r="F284" s="33">
        <f>IF(J283&lt;=0,0,ROUND(J283*(1+'Your debts'!$D$6/1200),2))</f>
        <v/>
      </c>
      <c r="G284" s="33">
        <f>IF(F284&lt;=0,0,MIN('Your debts'!$E$6,F284))</f>
        <v/>
      </c>
      <c r="H284" s="33">
        <f>F284-G284</f>
        <v/>
      </c>
      <c r="I284" s="33">
        <f>IF('Your debts'!$F$6="",0,MIN(H284,MAX(0,MAX(0,'Your debts'!$C$19-(G284+L284+Q284+V284+AA284+AF284+AK284+AP284+AU284+AZ284))-(IF(AND('Your debts'!$F$7&lt;&gt;"",'Your debts'!$F$6&lt;&gt;"",'Your debts'!$F$7&lt;'Your debts'!$F$6),M284,0)+IF(AND('Your debts'!$F$8&lt;&gt;"",'Your debts'!$F$6&lt;&gt;"",'Your debts'!$F$8&lt;'Your debts'!$F$6),R284,0)+IF(AND('Your debts'!$F$9&lt;&gt;"",'Your debts'!$F$6&lt;&gt;"",'Your debts'!$F$9&lt;'Your debts'!$F$6),W284,0)+IF(AND('Your debts'!$F$10&lt;&gt;"",'Your debts'!$F$6&lt;&gt;"",'Your debts'!$F$10&lt;'Your debts'!$F$6),AB284,0)+IF(AND('Your debts'!$F$11&lt;&gt;"",'Your debts'!$F$6&lt;&gt;"",'Your debts'!$F$11&lt;'Your debts'!$F$6),AG284,0)+IF(AND('Your debts'!$F$12&lt;&gt;"",'Your debts'!$F$6&lt;&gt;"",'Your debts'!$F$12&lt;'Your debts'!$F$6),AL284,0)+IF(AND('Your debts'!$F$13&lt;&gt;"",'Your debts'!$F$6&lt;&gt;"",'Your debts'!$F$13&lt;'Your debts'!$F$6),AQ284,0)+IF(AND('Your debts'!$F$14&lt;&gt;"",'Your debts'!$F$6&lt;&gt;"",'Your debts'!$F$14&lt;'Your debts'!$F$6),AV284,0)+IF(AND('Your debts'!$F$15&lt;&gt;"",'Your debts'!$F$6&lt;&gt;"",'Your debts'!$F$15&lt;'Your debts'!$F$6),BA284,0)))))</f>
        <v/>
      </c>
      <c r="J284" s="33">
        <f>H284-I284</f>
        <v/>
      </c>
      <c r="K284" s="33">
        <f>IF(O283&lt;=0,0,ROUND(O283*(1+'Your debts'!$D$7/1200),2))</f>
        <v/>
      </c>
      <c r="L284" s="33">
        <f>IF(K284&lt;=0,0,MIN('Your debts'!$E$7,K284))</f>
        <v/>
      </c>
      <c r="M284" s="33">
        <f>K284-L284</f>
        <v/>
      </c>
      <c r="N284" s="33">
        <f>IF('Your debts'!$F$7="",0,MIN(M284,MAX(0,MAX(0,'Your debts'!$C$19-(G284+L284+Q284+V284+AA284+AF284+AK284+AP284+AU284+AZ284))-(IF(AND('Your debts'!$F$6&lt;&gt;"",'Your debts'!$F$7&lt;&gt;"",'Your debts'!$F$6&lt;'Your debts'!$F$7),H284,0)+IF(AND('Your debts'!$F$8&lt;&gt;"",'Your debts'!$F$7&lt;&gt;"",'Your debts'!$F$8&lt;'Your debts'!$F$7),R284,0)+IF(AND('Your debts'!$F$9&lt;&gt;"",'Your debts'!$F$7&lt;&gt;"",'Your debts'!$F$9&lt;'Your debts'!$F$7),W284,0)+IF(AND('Your debts'!$F$10&lt;&gt;"",'Your debts'!$F$7&lt;&gt;"",'Your debts'!$F$10&lt;'Your debts'!$F$7),AB284,0)+IF(AND('Your debts'!$F$11&lt;&gt;"",'Your debts'!$F$7&lt;&gt;"",'Your debts'!$F$11&lt;'Your debts'!$F$7),AG284,0)+IF(AND('Your debts'!$F$12&lt;&gt;"",'Your debts'!$F$7&lt;&gt;"",'Your debts'!$F$12&lt;'Your debts'!$F$7),AL284,0)+IF(AND('Your debts'!$F$13&lt;&gt;"",'Your debts'!$F$7&lt;&gt;"",'Your debts'!$F$13&lt;'Your debts'!$F$7),AQ284,0)+IF(AND('Your debts'!$F$14&lt;&gt;"",'Your debts'!$F$7&lt;&gt;"",'Your debts'!$F$14&lt;'Your debts'!$F$7),AV284,0)+IF(AND('Your debts'!$F$15&lt;&gt;"",'Your debts'!$F$7&lt;&gt;"",'Your debts'!$F$15&lt;'Your debts'!$F$7),BA284,0)))))</f>
        <v/>
      </c>
      <c r="O284" s="33">
        <f>M284-N284</f>
        <v/>
      </c>
      <c r="P284" s="33">
        <f>IF(T283&lt;=0,0,ROUND(T283*(1+'Your debts'!$D$8/1200),2))</f>
        <v/>
      </c>
      <c r="Q284" s="33">
        <f>IF(P284&lt;=0,0,MIN('Your debts'!$E$8,P284))</f>
        <v/>
      </c>
      <c r="R284" s="33">
        <f>P284-Q284</f>
        <v/>
      </c>
      <c r="S284" s="33">
        <f>IF('Your debts'!$F$8="",0,MIN(R284,MAX(0,MAX(0,'Your debts'!$C$19-(G284+L284+Q284+V284+AA284+AF284+AK284+AP284+AU284+AZ284))-(IF(AND('Your debts'!$F$6&lt;&gt;"",'Your debts'!$F$8&lt;&gt;"",'Your debts'!$F$6&lt;'Your debts'!$F$8),H284,0)+IF(AND('Your debts'!$F$7&lt;&gt;"",'Your debts'!$F$8&lt;&gt;"",'Your debts'!$F$7&lt;'Your debts'!$F$8),M284,0)+IF(AND('Your debts'!$F$9&lt;&gt;"",'Your debts'!$F$8&lt;&gt;"",'Your debts'!$F$9&lt;'Your debts'!$F$8),W284,0)+IF(AND('Your debts'!$F$10&lt;&gt;"",'Your debts'!$F$8&lt;&gt;"",'Your debts'!$F$10&lt;'Your debts'!$F$8),AB284,0)+IF(AND('Your debts'!$F$11&lt;&gt;"",'Your debts'!$F$8&lt;&gt;"",'Your debts'!$F$11&lt;'Your debts'!$F$8),AG284,0)+IF(AND('Your debts'!$F$12&lt;&gt;"",'Your debts'!$F$8&lt;&gt;"",'Your debts'!$F$12&lt;'Your debts'!$F$8),AL284,0)+IF(AND('Your debts'!$F$13&lt;&gt;"",'Your debts'!$F$8&lt;&gt;"",'Your debts'!$F$13&lt;'Your debts'!$F$8),AQ284,0)+IF(AND('Your debts'!$F$14&lt;&gt;"",'Your debts'!$F$8&lt;&gt;"",'Your debts'!$F$14&lt;'Your debts'!$F$8),AV284,0)+IF(AND('Your debts'!$F$15&lt;&gt;"",'Your debts'!$F$8&lt;&gt;"",'Your debts'!$F$15&lt;'Your debts'!$F$8),BA284,0)))))</f>
        <v/>
      </c>
      <c r="T284" s="33">
        <f>R284-S284</f>
        <v/>
      </c>
      <c r="U284" s="33">
        <f>IF(Y283&lt;=0,0,ROUND(Y283*(1+'Your debts'!$D$9/1200),2))</f>
        <v/>
      </c>
      <c r="V284" s="33">
        <f>IF(U284&lt;=0,0,MIN('Your debts'!$E$9,U284))</f>
        <v/>
      </c>
      <c r="W284" s="33">
        <f>U284-V284</f>
        <v/>
      </c>
      <c r="X284" s="33">
        <f>IF('Your debts'!$F$9="",0,MIN(W284,MAX(0,MAX(0,'Your debts'!$C$19-(G284+L284+Q284+V284+AA284+AF284+AK284+AP284+AU284+AZ284))-(IF(AND('Your debts'!$F$6&lt;&gt;"",'Your debts'!$F$9&lt;&gt;"",'Your debts'!$F$6&lt;'Your debts'!$F$9),H284,0)+IF(AND('Your debts'!$F$7&lt;&gt;"",'Your debts'!$F$9&lt;&gt;"",'Your debts'!$F$7&lt;'Your debts'!$F$9),M284,0)+IF(AND('Your debts'!$F$8&lt;&gt;"",'Your debts'!$F$9&lt;&gt;"",'Your debts'!$F$8&lt;'Your debts'!$F$9),R284,0)+IF(AND('Your debts'!$F$10&lt;&gt;"",'Your debts'!$F$9&lt;&gt;"",'Your debts'!$F$10&lt;'Your debts'!$F$9),AB284,0)+IF(AND('Your debts'!$F$11&lt;&gt;"",'Your debts'!$F$9&lt;&gt;"",'Your debts'!$F$11&lt;'Your debts'!$F$9),AG284,0)+IF(AND('Your debts'!$F$12&lt;&gt;"",'Your debts'!$F$9&lt;&gt;"",'Your debts'!$F$12&lt;'Your debts'!$F$9),AL284,0)+IF(AND('Your debts'!$F$13&lt;&gt;"",'Your debts'!$F$9&lt;&gt;"",'Your debts'!$F$13&lt;'Your debts'!$F$9),AQ284,0)+IF(AND('Your debts'!$F$14&lt;&gt;"",'Your debts'!$F$9&lt;&gt;"",'Your debts'!$F$14&lt;'Your debts'!$F$9),AV284,0)+IF(AND('Your debts'!$F$15&lt;&gt;"",'Your debts'!$F$9&lt;&gt;"",'Your debts'!$F$15&lt;'Your debts'!$F$9),BA284,0)))))</f>
        <v/>
      </c>
      <c r="Y284" s="33">
        <f>W284-X284</f>
        <v/>
      </c>
      <c r="Z284" s="33">
        <f>IF(AD283&lt;=0,0,ROUND(AD283*(1+'Your debts'!$D$10/1200),2))</f>
        <v/>
      </c>
      <c r="AA284" s="33">
        <f>IF(Z284&lt;=0,0,MIN('Your debts'!$E$10,Z284))</f>
        <v/>
      </c>
      <c r="AB284" s="33">
        <f>Z284-AA284</f>
        <v/>
      </c>
      <c r="AC284" s="33">
        <f>IF('Your debts'!$F$10="",0,MIN(AB284,MAX(0,MAX(0,'Your debts'!$C$19-(G284+L284+Q284+V284+AA284+AF284+AK284+AP284+AU284+AZ284))-(IF(AND('Your debts'!$F$6&lt;&gt;"",'Your debts'!$F$10&lt;&gt;"",'Your debts'!$F$6&lt;'Your debts'!$F$10),H284,0)+IF(AND('Your debts'!$F$7&lt;&gt;"",'Your debts'!$F$10&lt;&gt;"",'Your debts'!$F$7&lt;'Your debts'!$F$10),M284,0)+IF(AND('Your debts'!$F$8&lt;&gt;"",'Your debts'!$F$10&lt;&gt;"",'Your debts'!$F$8&lt;'Your debts'!$F$10),R284,0)+IF(AND('Your debts'!$F$9&lt;&gt;"",'Your debts'!$F$10&lt;&gt;"",'Your debts'!$F$9&lt;'Your debts'!$F$10),W284,0)+IF(AND('Your debts'!$F$11&lt;&gt;"",'Your debts'!$F$10&lt;&gt;"",'Your debts'!$F$11&lt;'Your debts'!$F$10),AG284,0)+IF(AND('Your debts'!$F$12&lt;&gt;"",'Your debts'!$F$10&lt;&gt;"",'Your debts'!$F$12&lt;'Your debts'!$F$10),AL284,0)+IF(AND('Your debts'!$F$13&lt;&gt;"",'Your debts'!$F$10&lt;&gt;"",'Your debts'!$F$13&lt;'Your debts'!$F$10),AQ284,0)+IF(AND('Your debts'!$F$14&lt;&gt;"",'Your debts'!$F$10&lt;&gt;"",'Your debts'!$F$14&lt;'Your debts'!$F$10),AV284,0)+IF(AND('Your debts'!$F$15&lt;&gt;"",'Your debts'!$F$10&lt;&gt;"",'Your debts'!$F$15&lt;'Your debts'!$F$10),BA284,0)))))</f>
        <v/>
      </c>
      <c r="AD284" s="33">
        <f>AB284-AC284</f>
        <v/>
      </c>
      <c r="AE284" s="33">
        <f>IF(AI283&lt;=0,0,ROUND(AI283*(1+'Your debts'!$D$11/1200),2))</f>
        <v/>
      </c>
      <c r="AF284" s="33">
        <f>IF(AE284&lt;=0,0,MIN('Your debts'!$E$11,AE284))</f>
        <v/>
      </c>
      <c r="AG284" s="33">
        <f>AE284-AF284</f>
        <v/>
      </c>
      <c r="AH284" s="33">
        <f>IF('Your debts'!$F$11="",0,MIN(AG284,MAX(0,MAX(0,'Your debts'!$C$19-(G284+L284+Q284+V284+AA284+AF284+AK284+AP284+AU284+AZ284))-(IF(AND('Your debts'!$F$6&lt;&gt;"",'Your debts'!$F$11&lt;&gt;"",'Your debts'!$F$6&lt;'Your debts'!$F$11),H284,0)+IF(AND('Your debts'!$F$7&lt;&gt;"",'Your debts'!$F$11&lt;&gt;"",'Your debts'!$F$7&lt;'Your debts'!$F$11),M284,0)+IF(AND('Your debts'!$F$8&lt;&gt;"",'Your debts'!$F$11&lt;&gt;"",'Your debts'!$F$8&lt;'Your debts'!$F$11),R284,0)+IF(AND('Your debts'!$F$9&lt;&gt;"",'Your debts'!$F$11&lt;&gt;"",'Your debts'!$F$9&lt;'Your debts'!$F$11),W284,0)+IF(AND('Your debts'!$F$10&lt;&gt;"",'Your debts'!$F$11&lt;&gt;"",'Your debts'!$F$10&lt;'Your debts'!$F$11),AB284,0)+IF(AND('Your debts'!$F$12&lt;&gt;"",'Your debts'!$F$11&lt;&gt;"",'Your debts'!$F$12&lt;'Your debts'!$F$11),AL284,0)+IF(AND('Your debts'!$F$13&lt;&gt;"",'Your debts'!$F$11&lt;&gt;"",'Your debts'!$F$13&lt;'Your debts'!$F$11),AQ284,0)+IF(AND('Your debts'!$F$14&lt;&gt;"",'Your debts'!$F$11&lt;&gt;"",'Your debts'!$F$14&lt;'Your debts'!$F$11),AV284,0)+IF(AND('Your debts'!$F$15&lt;&gt;"",'Your debts'!$F$11&lt;&gt;"",'Your debts'!$F$15&lt;'Your debts'!$F$11),BA284,0)))))</f>
        <v/>
      </c>
      <c r="AI284" s="33">
        <f>AG284-AH284</f>
        <v/>
      </c>
      <c r="AJ284" s="33">
        <f>IF(AN283&lt;=0,0,ROUND(AN283*(1+'Your debts'!$D$12/1200),2))</f>
        <v/>
      </c>
      <c r="AK284" s="33">
        <f>IF(AJ284&lt;=0,0,MIN('Your debts'!$E$12,AJ284))</f>
        <v/>
      </c>
      <c r="AL284" s="33">
        <f>AJ284-AK284</f>
        <v/>
      </c>
      <c r="AM284" s="33">
        <f>IF('Your debts'!$F$12="",0,MIN(AL284,MAX(0,MAX(0,'Your debts'!$C$19-(G284+L284+Q284+V284+AA284+AF284+AK284+AP284+AU284+AZ284))-(IF(AND('Your debts'!$F$6&lt;&gt;"",'Your debts'!$F$12&lt;&gt;"",'Your debts'!$F$6&lt;'Your debts'!$F$12),H284,0)+IF(AND('Your debts'!$F$7&lt;&gt;"",'Your debts'!$F$12&lt;&gt;"",'Your debts'!$F$7&lt;'Your debts'!$F$12),M284,0)+IF(AND('Your debts'!$F$8&lt;&gt;"",'Your debts'!$F$12&lt;&gt;"",'Your debts'!$F$8&lt;'Your debts'!$F$12),R284,0)+IF(AND('Your debts'!$F$9&lt;&gt;"",'Your debts'!$F$12&lt;&gt;"",'Your debts'!$F$9&lt;'Your debts'!$F$12),W284,0)+IF(AND('Your debts'!$F$10&lt;&gt;"",'Your debts'!$F$12&lt;&gt;"",'Your debts'!$F$10&lt;'Your debts'!$F$12),AB284,0)+IF(AND('Your debts'!$F$11&lt;&gt;"",'Your debts'!$F$12&lt;&gt;"",'Your debts'!$F$11&lt;'Your debts'!$F$12),AG284,0)+IF(AND('Your debts'!$F$13&lt;&gt;"",'Your debts'!$F$12&lt;&gt;"",'Your debts'!$F$13&lt;'Your debts'!$F$12),AQ284,0)+IF(AND('Your debts'!$F$14&lt;&gt;"",'Your debts'!$F$12&lt;&gt;"",'Your debts'!$F$14&lt;'Your debts'!$F$12),AV284,0)+IF(AND('Your debts'!$F$15&lt;&gt;"",'Your debts'!$F$12&lt;&gt;"",'Your debts'!$F$15&lt;'Your debts'!$F$12),BA284,0)))))</f>
        <v/>
      </c>
      <c r="AN284" s="33">
        <f>AL284-AM284</f>
        <v/>
      </c>
      <c r="AO284" s="33">
        <f>IF(AS283&lt;=0,0,ROUND(AS283*(1+'Your debts'!$D$13/1200),2))</f>
        <v/>
      </c>
      <c r="AP284" s="33">
        <f>IF(AO284&lt;=0,0,MIN('Your debts'!$E$13,AO284))</f>
        <v/>
      </c>
      <c r="AQ284" s="33">
        <f>AO284-AP284</f>
        <v/>
      </c>
      <c r="AR284" s="33">
        <f>IF('Your debts'!$F$13="",0,MIN(AQ284,MAX(0,MAX(0,'Your debts'!$C$19-(G284+L284+Q284+V284+AA284+AF284+AK284+AP284+AU284+AZ284))-(IF(AND('Your debts'!$F$6&lt;&gt;"",'Your debts'!$F$13&lt;&gt;"",'Your debts'!$F$6&lt;'Your debts'!$F$13),H284,0)+IF(AND('Your debts'!$F$7&lt;&gt;"",'Your debts'!$F$13&lt;&gt;"",'Your debts'!$F$7&lt;'Your debts'!$F$13),M284,0)+IF(AND('Your debts'!$F$8&lt;&gt;"",'Your debts'!$F$13&lt;&gt;"",'Your debts'!$F$8&lt;'Your debts'!$F$13),R284,0)+IF(AND('Your debts'!$F$9&lt;&gt;"",'Your debts'!$F$13&lt;&gt;"",'Your debts'!$F$9&lt;'Your debts'!$F$13),W284,0)+IF(AND('Your debts'!$F$10&lt;&gt;"",'Your debts'!$F$13&lt;&gt;"",'Your debts'!$F$10&lt;'Your debts'!$F$13),AB284,0)+IF(AND('Your debts'!$F$11&lt;&gt;"",'Your debts'!$F$13&lt;&gt;"",'Your debts'!$F$11&lt;'Your debts'!$F$13),AG284,0)+IF(AND('Your debts'!$F$12&lt;&gt;"",'Your debts'!$F$13&lt;&gt;"",'Your debts'!$F$12&lt;'Your debts'!$F$13),AL284,0)+IF(AND('Your debts'!$F$14&lt;&gt;"",'Your debts'!$F$13&lt;&gt;"",'Your debts'!$F$14&lt;'Your debts'!$F$13),AV284,0)+IF(AND('Your debts'!$F$15&lt;&gt;"",'Your debts'!$F$13&lt;&gt;"",'Your debts'!$F$15&lt;'Your debts'!$F$13),BA284,0)))))</f>
        <v/>
      </c>
      <c r="AS284" s="33">
        <f>AQ284-AR284</f>
        <v/>
      </c>
      <c r="AT284" s="33">
        <f>IF(AX283&lt;=0,0,ROUND(AX283*(1+'Your debts'!$D$14/1200),2))</f>
        <v/>
      </c>
      <c r="AU284" s="33">
        <f>IF(AT284&lt;=0,0,MIN('Your debts'!$E$14,AT284))</f>
        <v/>
      </c>
      <c r="AV284" s="33">
        <f>AT284-AU284</f>
        <v/>
      </c>
      <c r="AW284" s="33">
        <f>IF('Your debts'!$F$14="",0,MIN(AV284,MAX(0,MAX(0,'Your debts'!$C$19-(G284+L284+Q284+V284+AA284+AF284+AK284+AP284+AU284+AZ284))-(IF(AND('Your debts'!$F$6&lt;&gt;"",'Your debts'!$F$14&lt;&gt;"",'Your debts'!$F$6&lt;'Your debts'!$F$14),H284,0)+IF(AND('Your debts'!$F$7&lt;&gt;"",'Your debts'!$F$14&lt;&gt;"",'Your debts'!$F$7&lt;'Your debts'!$F$14),M284,0)+IF(AND('Your debts'!$F$8&lt;&gt;"",'Your debts'!$F$14&lt;&gt;"",'Your debts'!$F$8&lt;'Your debts'!$F$14),R284,0)+IF(AND('Your debts'!$F$9&lt;&gt;"",'Your debts'!$F$14&lt;&gt;"",'Your debts'!$F$9&lt;'Your debts'!$F$14),W284,0)+IF(AND('Your debts'!$F$10&lt;&gt;"",'Your debts'!$F$14&lt;&gt;"",'Your debts'!$F$10&lt;'Your debts'!$F$14),AB284,0)+IF(AND('Your debts'!$F$11&lt;&gt;"",'Your debts'!$F$14&lt;&gt;"",'Your debts'!$F$11&lt;'Your debts'!$F$14),AG284,0)+IF(AND('Your debts'!$F$12&lt;&gt;"",'Your debts'!$F$14&lt;&gt;"",'Your debts'!$F$12&lt;'Your debts'!$F$14),AL284,0)+IF(AND('Your debts'!$F$13&lt;&gt;"",'Your debts'!$F$14&lt;&gt;"",'Your debts'!$F$13&lt;'Your debts'!$F$14),AQ284,0)+IF(AND('Your debts'!$F$15&lt;&gt;"",'Your debts'!$F$14&lt;&gt;"",'Your debts'!$F$15&lt;'Your debts'!$F$14),BA284,0)))))</f>
        <v/>
      </c>
      <c r="AX284" s="33">
        <f>AV284-AW284</f>
        <v/>
      </c>
      <c r="AY284" s="33">
        <f>IF(BC283&lt;=0,0,ROUND(BC283*(1+'Your debts'!$D$15/1200),2))</f>
        <v/>
      </c>
      <c r="AZ284" s="33">
        <f>IF(AY284&lt;=0,0,MIN('Your debts'!$E$15,AY284))</f>
        <v/>
      </c>
      <c r="BA284" s="33">
        <f>AY284-AZ284</f>
        <v/>
      </c>
      <c r="BB284" s="33">
        <f>IF('Your debts'!$F$15="",0,MIN(BA284,MAX(0,MAX(0,'Your debts'!$C$19-(G284+L284+Q284+V284+AA284+AF284+AK284+AP284+AU284+AZ284))-(IF(AND('Your debts'!$F$6&lt;&gt;"",'Your debts'!$F$15&lt;&gt;"",'Your debts'!$F$6&lt;'Your debts'!$F$15),H284,0)+IF(AND('Your debts'!$F$7&lt;&gt;"",'Your debts'!$F$15&lt;&gt;"",'Your debts'!$F$7&lt;'Your debts'!$F$15),M284,0)+IF(AND('Your debts'!$F$8&lt;&gt;"",'Your debts'!$F$15&lt;&gt;"",'Your debts'!$F$8&lt;'Your debts'!$F$15),R284,0)+IF(AND('Your debts'!$F$9&lt;&gt;"",'Your debts'!$F$15&lt;&gt;"",'Your debts'!$F$9&lt;'Your debts'!$F$15),W284,0)+IF(AND('Your debts'!$F$10&lt;&gt;"",'Your debts'!$F$15&lt;&gt;"",'Your debts'!$F$10&lt;'Your debts'!$F$15),AB284,0)+IF(AND('Your debts'!$F$11&lt;&gt;"",'Your debts'!$F$15&lt;&gt;"",'Your debts'!$F$11&lt;'Your debts'!$F$15),AG284,0)+IF(AND('Your debts'!$F$12&lt;&gt;"",'Your debts'!$F$15&lt;&gt;"",'Your debts'!$F$12&lt;'Your debts'!$F$15),AL284,0)+IF(AND('Your debts'!$F$13&lt;&gt;"",'Your debts'!$F$15&lt;&gt;"",'Your debts'!$F$13&lt;'Your debts'!$F$15),AQ284,0)+IF(AND('Your debts'!$F$14&lt;&gt;"",'Your debts'!$F$15&lt;&gt;"",'Your debts'!$F$14&lt;'Your debts'!$F$15),AV284,0)))))</f>
        <v/>
      </c>
      <c r="BC284" s="33">
        <f>BA284-BB284</f>
        <v/>
      </c>
    </row>
    <row r="285">
      <c r="A285" s="30" t="n">
        <v>270</v>
      </c>
      <c r="B285" s="31">
        <f>EDATE($B$15,270)</f>
        <v/>
      </c>
      <c r="C285" s="32">
        <f>IF(J284&lt;=0,0,F285-J284)+IF(O284&lt;=0,0,K285-O284)+IF(T284&lt;=0,0,P285-T284)+IF(Y284&lt;=0,0,U285-Y284)+IF(AD284&lt;=0,0,Z285-AD284)+IF(AI284&lt;=0,0,AE285-AI284)+IF(AN284&lt;=0,0,AJ285-AN284)+IF(AS284&lt;=0,0,AO285-AS284)+IF(AX284&lt;=0,0,AT285-AX284)+IF(BC284&lt;=0,0,AY285-BC284)</f>
        <v/>
      </c>
      <c r="D285" s="32">
        <f>G285+I285+L285+N285+Q285+S285+V285+X285+AA285+AC285+AF285+AH285+AK285+AM285+AP285+AR285+AU285+AW285+AZ285+BB285</f>
        <v/>
      </c>
      <c r="E285" s="32">
        <f>J285+O285+T285+Y285+AD285+AI285+AN285+AS285+AX285+BC285</f>
        <v/>
      </c>
      <c r="F285" s="33">
        <f>IF(J284&lt;=0,0,ROUND(J284*(1+'Your debts'!$D$6/1200),2))</f>
        <v/>
      </c>
      <c r="G285" s="33">
        <f>IF(F285&lt;=0,0,MIN('Your debts'!$E$6,F285))</f>
        <v/>
      </c>
      <c r="H285" s="33">
        <f>F285-G285</f>
        <v/>
      </c>
      <c r="I285" s="33">
        <f>IF('Your debts'!$F$6="",0,MIN(H285,MAX(0,MAX(0,'Your debts'!$C$19-(G285+L285+Q285+V285+AA285+AF285+AK285+AP285+AU285+AZ285))-(IF(AND('Your debts'!$F$7&lt;&gt;"",'Your debts'!$F$6&lt;&gt;"",'Your debts'!$F$7&lt;'Your debts'!$F$6),M285,0)+IF(AND('Your debts'!$F$8&lt;&gt;"",'Your debts'!$F$6&lt;&gt;"",'Your debts'!$F$8&lt;'Your debts'!$F$6),R285,0)+IF(AND('Your debts'!$F$9&lt;&gt;"",'Your debts'!$F$6&lt;&gt;"",'Your debts'!$F$9&lt;'Your debts'!$F$6),W285,0)+IF(AND('Your debts'!$F$10&lt;&gt;"",'Your debts'!$F$6&lt;&gt;"",'Your debts'!$F$10&lt;'Your debts'!$F$6),AB285,0)+IF(AND('Your debts'!$F$11&lt;&gt;"",'Your debts'!$F$6&lt;&gt;"",'Your debts'!$F$11&lt;'Your debts'!$F$6),AG285,0)+IF(AND('Your debts'!$F$12&lt;&gt;"",'Your debts'!$F$6&lt;&gt;"",'Your debts'!$F$12&lt;'Your debts'!$F$6),AL285,0)+IF(AND('Your debts'!$F$13&lt;&gt;"",'Your debts'!$F$6&lt;&gt;"",'Your debts'!$F$13&lt;'Your debts'!$F$6),AQ285,0)+IF(AND('Your debts'!$F$14&lt;&gt;"",'Your debts'!$F$6&lt;&gt;"",'Your debts'!$F$14&lt;'Your debts'!$F$6),AV285,0)+IF(AND('Your debts'!$F$15&lt;&gt;"",'Your debts'!$F$6&lt;&gt;"",'Your debts'!$F$15&lt;'Your debts'!$F$6),BA285,0)))))</f>
        <v/>
      </c>
      <c r="J285" s="33">
        <f>H285-I285</f>
        <v/>
      </c>
      <c r="K285" s="33">
        <f>IF(O284&lt;=0,0,ROUND(O284*(1+'Your debts'!$D$7/1200),2))</f>
        <v/>
      </c>
      <c r="L285" s="33">
        <f>IF(K285&lt;=0,0,MIN('Your debts'!$E$7,K285))</f>
        <v/>
      </c>
      <c r="M285" s="33">
        <f>K285-L285</f>
        <v/>
      </c>
      <c r="N285" s="33">
        <f>IF('Your debts'!$F$7="",0,MIN(M285,MAX(0,MAX(0,'Your debts'!$C$19-(G285+L285+Q285+V285+AA285+AF285+AK285+AP285+AU285+AZ285))-(IF(AND('Your debts'!$F$6&lt;&gt;"",'Your debts'!$F$7&lt;&gt;"",'Your debts'!$F$6&lt;'Your debts'!$F$7),H285,0)+IF(AND('Your debts'!$F$8&lt;&gt;"",'Your debts'!$F$7&lt;&gt;"",'Your debts'!$F$8&lt;'Your debts'!$F$7),R285,0)+IF(AND('Your debts'!$F$9&lt;&gt;"",'Your debts'!$F$7&lt;&gt;"",'Your debts'!$F$9&lt;'Your debts'!$F$7),W285,0)+IF(AND('Your debts'!$F$10&lt;&gt;"",'Your debts'!$F$7&lt;&gt;"",'Your debts'!$F$10&lt;'Your debts'!$F$7),AB285,0)+IF(AND('Your debts'!$F$11&lt;&gt;"",'Your debts'!$F$7&lt;&gt;"",'Your debts'!$F$11&lt;'Your debts'!$F$7),AG285,0)+IF(AND('Your debts'!$F$12&lt;&gt;"",'Your debts'!$F$7&lt;&gt;"",'Your debts'!$F$12&lt;'Your debts'!$F$7),AL285,0)+IF(AND('Your debts'!$F$13&lt;&gt;"",'Your debts'!$F$7&lt;&gt;"",'Your debts'!$F$13&lt;'Your debts'!$F$7),AQ285,0)+IF(AND('Your debts'!$F$14&lt;&gt;"",'Your debts'!$F$7&lt;&gt;"",'Your debts'!$F$14&lt;'Your debts'!$F$7),AV285,0)+IF(AND('Your debts'!$F$15&lt;&gt;"",'Your debts'!$F$7&lt;&gt;"",'Your debts'!$F$15&lt;'Your debts'!$F$7),BA285,0)))))</f>
        <v/>
      </c>
      <c r="O285" s="33">
        <f>M285-N285</f>
        <v/>
      </c>
      <c r="P285" s="33">
        <f>IF(T284&lt;=0,0,ROUND(T284*(1+'Your debts'!$D$8/1200),2))</f>
        <v/>
      </c>
      <c r="Q285" s="33">
        <f>IF(P285&lt;=0,0,MIN('Your debts'!$E$8,P285))</f>
        <v/>
      </c>
      <c r="R285" s="33">
        <f>P285-Q285</f>
        <v/>
      </c>
      <c r="S285" s="33">
        <f>IF('Your debts'!$F$8="",0,MIN(R285,MAX(0,MAX(0,'Your debts'!$C$19-(G285+L285+Q285+V285+AA285+AF285+AK285+AP285+AU285+AZ285))-(IF(AND('Your debts'!$F$6&lt;&gt;"",'Your debts'!$F$8&lt;&gt;"",'Your debts'!$F$6&lt;'Your debts'!$F$8),H285,0)+IF(AND('Your debts'!$F$7&lt;&gt;"",'Your debts'!$F$8&lt;&gt;"",'Your debts'!$F$7&lt;'Your debts'!$F$8),M285,0)+IF(AND('Your debts'!$F$9&lt;&gt;"",'Your debts'!$F$8&lt;&gt;"",'Your debts'!$F$9&lt;'Your debts'!$F$8),W285,0)+IF(AND('Your debts'!$F$10&lt;&gt;"",'Your debts'!$F$8&lt;&gt;"",'Your debts'!$F$10&lt;'Your debts'!$F$8),AB285,0)+IF(AND('Your debts'!$F$11&lt;&gt;"",'Your debts'!$F$8&lt;&gt;"",'Your debts'!$F$11&lt;'Your debts'!$F$8),AG285,0)+IF(AND('Your debts'!$F$12&lt;&gt;"",'Your debts'!$F$8&lt;&gt;"",'Your debts'!$F$12&lt;'Your debts'!$F$8),AL285,0)+IF(AND('Your debts'!$F$13&lt;&gt;"",'Your debts'!$F$8&lt;&gt;"",'Your debts'!$F$13&lt;'Your debts'!$F$8),AQ285,0)+IF(AND('Your debts'!$F$14&lt;&gt;"",'Your debts'!$F$8&lt;&gt;"",'Your debts'!$F$14&lt;'Your debts'!$F$8),AV285,0)+IF(AND('Your debts'!$F$15&lt;&gt;"",'Your debts'!$F$8&lt;&gt;"",'Your debts'!$F$15&lt;'Your debts'!$F$8),BA285,0)))))</f>
        <v/>
      </c>
      <c r="T285" s="33">
        <f>R285-S285</f>
        <v/>
      </c>
      <c r="U285" s="33">
        <f>IF(Y284&lt;=0,0,ROUND(Y284*(1+'Your debts'!$D$9/1200),2))</f>
        <v/>
      </c>
      <c r="V285" s="33">
        <f>IF(U285&lt;=0,0,MIN('Your debts'!$E$9,U285))</f>
        <v/>
      </c>
      <c r="W285" s="33">
        <f>U285-V285</f>
        <v/>
      </c>
      <c r="X285" s="33">
        <f>IF('Your debts'!$F$9="",0,MIN(W285,MAX(0,MAX(0,'Your debts'!$C$19-(G285+L285+Q285+V285+AA285+AF285+AK285+AP285+AU285+AZ285))-(IF(AND('Your debts'!$F$6&lt;&gt;"",'Your debts'!$F$9&lt;&gt;"",'Your debts'!$F$6&lt;'Your debts'!$F$9),H285,0)+IF(AND('Your debts'!$F$7&lt;&gt;"",'Your debts'!$F$9&lt;&gt;"",'Your debts'!$F$7&lt;'Your debts'!$F$9),M285,0)+IF(AND('Your debts'!$F$8&lt;&gt;"",'Your debts'!$F$9&lt;&gt;"",'Your debts'!$F$8&lt;'Your debts'!$F$9),R285,0)+IF(AND('Your debts'!$F$10&lt;&gt;"",'Your debts'!$F$9&lt;&gt;"",'Your debts'!$F$10&lt;'Your debts'!$F$9),AB285,0)+IF(AND('Your debts'!$F$11&lt;&gt;"",'Your debts'!$F$9&lt;&gt;"",'Your debts'!$F$11&lt;'Your debts'!$F$9),AG285,0)+IF(AND('Your debts'!$F$12&lt;&gt;"",'Your debts'!$F$9&lt;&gt;"",'Your debts'!$F$12&lt;'Your debts'!$F$9),AL285,0)+IF(AND('Your debts'!$F$13&lt;&gt;"",'Your debts'!$F$9&lt;&gt;"",'Your debts'!$F$13&lt;'Your debts'!$F$9),AQ285,0)+IF(AND('Your debts'!$F$14&lt;&gt;"",'Your debts'!$F$9&lt;&gt;"",'Your debts'!$F$14&lt;'Your debts'!$F$9),AV285,0)+IF(AND('Your debts'!$F$15&lt;&gt;"",'Your debts'!$F$9&lt;&gt;"",'Your debts'!$F$15&lt;'Your debts'!$F$9),BA285,0)))))</f>
        <v/>
      </c>
      <c r="Y285" s="33">
        <f>W285-X285</f>
        <v/>
      </c>
      <c r="Z285" s="33">
        <f>IF(AD284&lt;=0,0,ROUND(AD284*(1+'Your debts'!$D$10/1200),2))</f>
        <v/>
      </c>
      <c r="AA285" s="33">
        <f>IF(Z285&lt;=0,0,MIN('Your debts'!$E$10,Z285))</f>
        <v/>
      </c>
      <c r="AB285" s="33">
        <f>Z285-AA285</f>
        <v/>
      </c>
      <c r="AC285" s="33">
        <f>IF('Your debts'!$F$10="",0,MIN(AB285,MAX(0,MAX(0,'Your debts'!$C$19-(G285+L285+Q285+V285+AA285+AF285+AK285+AP285+AU285+AZ285))-(IF(AND('Your debts'!$F$6&lt;&gt;"",'Your debts'!$F$10&lt;&gt;"",'Your debts'!$F$6&lt;'Your debts'!$F$10),H285,0)+IF(AND('Your debts'!$F$7&lt;&gt;"",'Your debts'!$F$10&lt;&gt;"",'Your debts'!$F$7&lt;'Your debts'!$F$10),M285,0)+IF(AND('Your debts'!$F$8&lt;&gt;"",'Your debts'!$F$10&lt;&gt;"",'Your debts'!$F$8&lt;'Your debts'!$F$10),R285,0)+IF(AND('Your debts'!$F$9&lt;&gt;"",'Your debts'!$F$10&lt;&gt;"",'Your debts'!$F$9&lt;'Your debts'!$F$10),W285,0)+IF(AND('Your debts'!$F$11&lt;&gt;"",'Your debts'!$F$10&lt;&gt;"",'Your debts'!$F$11&lt;'Your debts'!$F$10),AG285,0)+IF(AND('Your debts'!$F$12&lt;&gt;"",'Your debts'!$F$10&lt;&gt;"",'Your debts'!$F$12&lt;'Your debts'!$F$10),AL285,0)+IF(AND('Your debts'!$F$13&lt;&gt;"",'Your debts'!$F$10&lt;&gt;"",'Your debts'!$F$13&lt;'Your debts'!$F$10),AQ285,0)+IF(AND('Your debts'!$F$14&lt;&gt;"",'Your debts'!$F$10&lt;&gt;"",'Your debts'!$F$14&lt;'Your debts'!$F$10),AV285,0)+IF(AND('Your debts'!$F$15&lt;&gt;"",'Your debts'!$F$10&lt;&gt;"",'Your debts'!$F$15&lt;'Your debts'!$F$10),BA285,0)))))</f>
        <v/>
      </c>
      <c r="AD285" s="33">
        <f>AB285-AC285</f>
        <v/>
      </c>
      <c r="AE285" s="33">
        <f>IF(AI284&lt;=0,0,ROUND(AI284*(1+'Your debts'!$D$11/1200),2))</f>
        <v/>
      </c>
      <c r="AF285" s="33">
        <f>IF(AE285&lt;=0,0,MIN('Your debts'!$E$11,AE285))</f>
        <v/>
      </c>
      <c r="AG285" s="33">
        <f>AE285-AF285</f>
        <v/>
      </c>
      <c r="AH285" s="33">
        <f>IF('Your debts'!$F$11="",0,MIN(AG285,MAX(0,MAX(0,'Your debts'!$C$19-(G285+L285+Q285+V285+AA285+AF285+AK285+AP285+AU285+AZ285))-(IF(AND('Your debts'!$F$6&lt;&gt;"",'Your debts'!$F$11&lt;&gt;"",'Your debts'!$F$6&lt;'Your debts'!$F$11),H285,0)+IF(AND('Your debts'!$F$7&lt;&gt;"",'Your debts'!$F$11&lt;&gt;"",'Your debts'!$F$7&lt;'Your debts'!$F$11),M285,0)+IF(AND('Your debts'!$F$8&lt;&gt;"",'Your debts'!$F$11&lt;&gt;"",'Your debts'!$F$8&lt;'Your debts'!$F$11),R285,0)+IF(AND('Your debts'!$F$9&lt;&gt;"",'Your debts'!$F$11&lt;&gt;"",'Your debts'!$F$9&lt;'Your debts'!$F$11),W285,0)+IF(AND('Your debts'!$F$10&lt;&gt;"",'Your debts'!$F$11&lt;&gt;"",'Your debts'!$F$10&lt;'Your debts'!$F$11),AB285,0)+IF(AND('Your debts'!$F$12&lt;&gt;"",'Your debts'!$F$11&lt;&gt;"",'Your debts'!$F$12&lt;'Your debts'!$F$11),AL285,0)+IF(AND('Your debts'!$F$13&lt;&gt;"",'Your debts'!$F$11&lt;&gt;"",'Your debts'!$F$13&lt;'Your debts'!$F$11),AQ285,0)+IF(AND('Your debts'!$F$14&lt;&gt;"",'Your debts'!$F$11&lt;&gt;"",'Your debts'!$F$14&lt;'Your debts'!$F$11),AV285,0)+IF(AND('Your debts'!$F$15&lt;&gt;"",'Your debts'!$F$11&lt;&gt;"",'Your debts'!$F$15&lt;'Your debts'!$F$11),BA285,0)))))</f>
        <v/>
      </c>
      <c r="AI285" s="33">
        <f>AG285-AH285</f>
        <v/>
      </c>
      <c r="AJ285" s="33">
        <f>IF(AN284&lt;=0,0,ROUND(AN284*(1+'Your debts'!$D$12/1200),2))</f>
        <v/>
      </c>
      <c r="AK285" s="33">
        <f>IF(AJ285&lt;=0,0,MIN('Your debts'!$E$12,AJ285))</f>
        <v/>
      </c>
      <c r="AL285" s="33">
        <f>AJ285-AK285</f>
        <v/>
      </c>
      <c r="AM285" s="33">
        <f>IF('Your debts'!$F$12="",0,MIN(AL285,MAX(0,MAX(0,'Your debts'!$C$19-(G285+L285+Q285+V285+AA285+AF285+AK285+AP285+AU285+AZ285))-(IF(AND('Your debts'!$F$6&lt;&gt;"",'Your debts'!$F$12&lt;&gt;"",'Your debts'!$F$6&lt;'Your debts'!$F$12),H285,0)+IF(AND('Your debts'!$F$7&lt;&gt;"",'Your debts'!$F$12&lt;&gt;"",'Your debts'!$F$7&lt;'Your debts'!$F$12),M285,0)+IF(AND('Your debts'!$F$8&lt;&gt;"",'Your debts'!$F$12&lt;&gt;"",'Your debts'!$F$8&lt;'Your debts'!$F$12),R285,0)+IF(AND('Your debts'!$F$9&lt;&gt;"",'Your debts'!$F$12&lt;&gt;"",'Your debts'!$F$9&lt;'Your debts'!$F$12),W285,0)+IF(AND('Your debts'!$F$10&lt;&gt;"",'Your debts'!$F$12&lt;&gt;"",'Your debts'!$F$10&lt;'Your debts'!$F$12),AB285,0)+IF(AND('Your debts'!$F$11&lt;&gt;"",'Your debts'!$F$12&lt;&gt;"",'Your debts'!$F$11&lt;'Your debts'!$F$12),AG285,0)+IF(AND('Your debts'!$F$13&lt;&gt;"",'Your debts'!$F$12&lt;&gt;"",'Your debts'!$F$13&lt;'Your debts'!$F$12),AQ285,0)+IF(AND('Your debts'!$F$14&lt;&gt;"",'Your debts'!$F$12&lt;&gt;"",'Your debts'!$F$14&lt;'Your debts'!$F$12),AV285,0)+IF(AND('Your debts'!$F$15&lt;&gt;"",'Your debts'!$F$12&lt;&gt;"",'Your debts'!$F$15&lt;'Your debts'!$F$12),BA285,0)))))</f>
        <v/>
      </c>
      <c r="AN285" s="33">
        <f>AL285-AM285</f>
        <v/>
      </c>
      <c r="AO285" s="33">
        <f>IF(AS284&lt;=0,0,ROUND(AS284*(1+'Your debts'!$D$13/1200),2))</f>
        <v/>
      </c>
      <c r="AP285" s="33">
        <f>IF(AO285&lt;=0,0,MIN('Your debts'!$E$13,AO285))</f>
        <v/>
      </c>
      <c r="AQ285" s="33">
        <f>AO285-AP285</f>
        <v/>
      </c>
      <c r="AR285" s="33">
        <f>IF('Your debts'!$F$13="",0,MIN(AQ285,MAX(0,MAX(0,'Your debts'!$C$19-(G285+L285+Q285+V285+AA285+AF285+AK285+AP285+AU285+AZ285))-(IF(AND('Your debts'!$F$6&lt;&gt;"",'Your debts'!$F$13&lt;&gt;"",'Your debts'!$F$6&lt;'Your debts'!$F$13),H285,0)+IF(AND('Your debts'!$F$7&lt;&gt;"",'Your debts'!$F$13&lt;&gt;"",'Your debts'!$F$7&lt;'Your debts'!$F$13),M285,0)+IF(AND('Your debts'!$F$8&lt;&gt;"",'Your debts'!$F$13&lt;&gt;"",'Your debts'!$F$8&lt;'Your debts'!$F$13),R285,0)+IF(AND('Your debts'!$F$9&lt;&gt;"",'Your debts'!$F$13&lt;&gt;"",'Your debts'!$F$9&lt;'Your debts'!$F$13),W285,0)+IF(AND('Your debts'!$F$10&lt;&gt;"",'Your debts'!$F$13&lt;&gt;"",'Your debts'!$F$10&lt;'Your debts'!$F$13),AB285,0)+IF(AND('Your debts'!$F$11&lt;&gt;"",'Your debts'!$F$13&lt;&gt;"",'Your debts'!$F$11&lt;'Your debts'!$F$13),AG285,0)+IF(AND('Your debts'!$F$12&lt;&gt;"",'Your debts'!$F$13&lt;&gt;"",'Your debts'!$F$12&lt;'Your debts'!$F$13),AL285,0)+IF(AND('Your debts'!$F$14&lt;&gt;"",'Your debts'!$F$13&lt;&gt;"",'Your debts'!$F$14&lt;'Your debts'!$F$13),AV285,0)+IF(AND('Your debts'!$F$15&lt;&gt;"",'Your debts'!$F$13&lt;&gt;"",'Your debts'!$F$15&lt;'Your debts'!$F$13),BA285,0)))))</f>
        <v/>
      </c>
      <c r="AS285" s="33">
        <f>AQ285-AR285</f>
        <v/>
      </c>
      <c r="AT285" s="33">
        <f>IF(AX284&lt;=0,0,ROUND(AX284*(1+'Your debts'!$D$14/1200),2))</f>
        <v/>
      </c>
      <c r="AU285" s="33">
        <f>IF(AT285&lt;=0,0,MIN('Your debts'!$E$14,AT285))</f>
        <v/>
      </c>
      <c r="AV285" s="33">
        <f>AT285-AU285</f>
        <v/>
      </c>
      <c r="AW285" s="33">
        <f>IF('Your debts'!$F$14="",0,MIN(AV285,MAX(0,MAX(0,'Your debts'!$C$19-(G285+L285+Q285+V285+AA285+AF285+AK285+AP285+AU285+AZ285))-(IF(AND('Your debts'!$F$6&lt;&gt;"",'Your debts'!$F$14&lt;&gt;"",'Your debts'!$F$6&lt;'Your debts'!$F$14),H285,0)+IF(AND('Your debts'!$F$7&lt;&gt;"",'Your debts'!$F$14&lt;&gt;"",'Your debts'!$F$7&lt;'Your debts'!$F$14),M285,0)+IF(AND('Your debts'!$F$8&lt;&gt;"",'Your debts'!$F$14&lt;&gt;"",'Your debts'!$F$8&lt;'Your debts'!$F$14),R285,0)+IF(AND('Your debts'!$F$9&lt;&gt;"",'Your debts'!$F$14&lt;&gt;"",'Your debts'!$F$9&lt;'Your debts'!$F$14),W285,0)+IF(AND('Your debts'!$F$10&lt;&gt;"",'Your debts'!$F$14&lt;&gt;"",'Your debts'!$F$10&lt;'Your debts'!$F$14),AB285,0)+IF(AND('Your debts'!$F$11&lt;&gt;"",'Your debts'!$F$14&lt;&gt;"",'Your debts'!$F$11&lt;'Your debts'!$F$14),AG285,0)+IF(AND('Your debts'!$F$12&lt;&gt;"",'Your debts'!$F$14&lt;&gt;"",'Your debts'!$F$12&lt;'Your debts'!$F$14),AL285,0)+IF(AND('Your debts'!$F$13&lt;&gt;"",'Your debts'!$F$14&lt;&gt;"",'Your debts'!$F$13&lt;'Your debts'!$F$14),AQ285,0)+IF(AND('Your debts'!$F$15&lt;&gt;"",'Your debts'!$F$14&lt;&gt;"",'Your debts'!$F$15&lt;'Your debts'!$F$14),BA285,0)))))</f>
        <v/>
      </c>
      <c r="AX285" s="33">
        <f>AV285-AW285</f>
        <v/>
      </c>
      <c r="AY285" s="33">
        <f>IF(BC284&lt;=0,0,ROUND(BC284*(1+'Your debts'!$D$15/1200),2))</f>
        <v/>
      </c>
      <c r="AZ285" s="33">
        <f>IF(AY285&lt;=0,0,MIN('Your debts'!$E$15,AY285))</f>
        <v/>
      </c>
      <c r="BA285" s="33">
        <f>AY285-AZ285</f>
        <v/>
      </c>
      <c r="BB285" s="33">
        <f>IF('Your debts'!$F$15="",0,MIN(BA285,MAX(0,MAX(0,'Your debts'!$C$19-(G285+L285+Q285+V285+AA285+AF285+AK285+AP285+AU285+AZ285))-(IF(AND('Your debts'!$F$6&lt;&gt;"",'Your debts'!$F$15&lt;&gt;"",'Your debts'!$F$6&lt;'Your debts'!$F$15),H285,0)+IF(AND('Your debts'!$F$7&lt;&gt;"",'Your debts'!$F$15&lt;&gt;"",'Your debts'!$F$7&lt;'Your debts'!$F$15),M285,0)+IF(AND('Your debts'!$F$8&lt;&gt;"",'Your debts'!$F$15&lt;&gt;"",'Your debts'!$F$8&lt;'Your debts'!$F$15),R285,0)+IF(AND('Your debts'!$F$9&lt;&gt;"",'Your debts'!$F$15&lt;&gt;"",'Your debts'!$F$9&lt;'Your debts'!$F$15),W285,0)+IF(AND('Your debts'!$F$10&lt;&gt;"",'Your debts'!$F$15&lt;&gt;"",'Your debts'!$F$10&lt;'Your debts'!$F$15),AB285,0)+IF(AND('Your debts'!$F$11&lt;&gt;"",'Your debts'!$F$15&lt;&gt;"",'Your debts'!$F$11&lt;'Your debts'!$F$15),AG285,0)+IF(AND('Your debts'!$F$12&lt;&gt;"",'Your debts'!$F$15&lt;&gt;"",'Your debts'!$F$12&lt;'Your debts'!$F$15),AL285,0)+IF(AND('Your debts'!$F$13&lt;&gt;"",'Your debts'!$F$15&lt;&gt;"",'Your debts'!$F$13&lt;'Your debts'!$F$15),AQ285,0)+IF(AND('Your debts'!$F$14&lt;&gt;"",'Your debts'!$F$15&lt;&gt;"",'Your debts'!$F$14&lt;'Your debts'!$F$15),AV285,0)))))</f>
        <v/>
      </c>
      <c r="BC285" s="33">
        <f>BA285-BB285</f>
        <v/>
      </c>
    </row>
    <row r="286">
      <c r="A286" s="30" t="n">
        <v>271</v>
      </c>
      <c r="B286" s="31">
        <f>EDATE($B$15,271)</f>
        <v/>
      </c>
      <c r="C286" s="32">
        <f>IF(J285&lt;=0,0,F286-J285)+IF(O285&lt;=0,0,K286-O285)+IF(T285&lt;=0,0,P286-T285)+IF(Y285&lt;=0,0,U286-Y285)+IF(AD285&lt;=0,0,Z286-AD285)+IF(AI285&lt;=0,0,AE286-AI285)+IF(AN285&lt;=0,0,AJ286-AN285)+IF(AS285&lt;=0,0,AO286-AS285)+IF(AX285&lt;=0,0,AT286-AX285)+IF(BC285&lt;=0,0,AY286-BC285)</f>
        <v/>
      </c>
      <c r="D286" s="32">
        <f>G286+I286+L286+N286+Q286+S286+V286+X286+AA286+AC286+AF286+AH286+AK286+AM286+AP286+AR286+AU286+AW286+AZ286+BB286</f>
        <v/>
      </c>
      <c r="E286" s="32">
        <f>J286+O286+T286+Y286+AD286+AI286+AN286+AS286+AX286+BC286</f>
        <v/>
      </c>
      <c r="F286" s="33">
        <f>IF(J285&lt;=0,0,ROUND(J285*(1+'Your debts'!$D$6/1200),2))</f>
        <v/>
      </c>
      <c r="G286" s="33">
        <f>IF(F286&lt;=0,0,MIN('Your debts'!$E$6,F286))</f>
        <v/>
      </c>
      <c r="H286" s="33">
        <f>F286-G286</f>
        <v/>
      </c>
      <c r="I286" s="33">
        <f>IF('Your debts'!$F$6="",0,MIN(H286,MAX(0,MAX(0,'Your debts'!$C$19-(G286+L286+Q286+V286+AA286+AF286+AK286+AP286+AU286+AZ286))-(IF(AND('Your debts'!$F$7&lt;&gt;"",'Your debts'!$F$6&lt;&gt;"",'Your debts'!$F$7&lt;'Your debts'!$F$6),M286,0)+IF(AND('Your debts'!$F$8&lt;&gt;"",'Your debts'!$F$6&lt;&gt;"",'Your debts'!$F$8&lt;'Your debts'!$F$6),R286,0)+IF(AND('Your debts'!$F$9&lt;&gt;"",'Your debts'!$F$6&lt;&gt;"",'Your debts'!$F$9&lt;'Your debts'!$F$6),W286,0)+IF(AND('Your debts'!$F$10&lt;&gt;"",'Your debts'!$F$6&lt;&gt;"",'Your debts'!$F$10&lt;'Your debts'!$F$6),AB286,0)+IF(AND('Your debts'!$F$11&lt;&gt;"",'Your debts'!$F$6&lt;&gt;"",'Your debts'!$F$11&lt;'Your debts'!$F$6),AG286,0)+IF(AND('Your debts'!$F$12&lt;&gt;"",'Your debts'!$F$6&lt;&gt;"",'Your debts'!$F$12&lt;'Your debts'!$F$6),AL286,0)+IF(AND('Your debts'!$F$13&lt;&gt;"",'Your debts'!$F$6&lt;&gt;"",'Your debts'!$F$13&lt;'Your debts'!$F$6),AQ286,0)+IF(AND('Your debts'!$F$14&lt;&gt;"",'Your debts'!$F$6&lt;&gt;"",'Your debts'!$F$14&lt;'Your debts'!$F$6),AV286,0)+IF(AND('Your debts'!$F$15&lt;&gt;"",'Your debts'!$F$6&lt;&gt;"",'Your debts'!$F$15&lt;'Your debts'!$F$6),BA286,0)))))</f>
        <v/>
      </c>
      <c r="J286" s="33">
        <f>H286-I286</f>
        <v/>
      </c>
      <c r="K286" s="33">
        <f>IF(O285&lt;=0,0,ROUND(O285*(1+'Your debts'!$D$7/1200),2))</f>
        <v/>
      </c>
      <c r="L286" s="33">
        <f>IF(K286&lt;=0,0,MIN('Your debts'!$E$7,K286))</f>
        <v/>
      </c>
      <c r="M286" s="33">
        <f>K286-L286</f>
        <v/>
      </c>
      <c r="N286" s="33">
        <f>IF('Your debts'!$F$7="",0,MIN(M286,MAX(0,MAX(0,'Your debts'!$C$19-(G286+L286+Q286+V286+AA286+AF286+AK286+AP286+AU286+AZ286))-(IF(AND('Your debts'!$F$6&lt;&gt;"",'Your debts'!$F$7&lt;&gt;"",'Your debts'!$F$6&lt;'Your debts'!$F$7),H286,0)+IF(AND('Your debts'!$F$8&lt;&gt;"",'Your debts'!$F$7&lt;&gt;"",'Your debts'!$F$8&lt;'Your debts'!$F$7),R286,0)+IF(AND('Your debts'!$F$9&lt;&gt;"",'Your debts'!$F$7&lt;&gt;"",'Your debts'!$F$9&lt;'Your debts'!$F$7),W286,0)+IF(AND('Your debts'!$F$10&lt;&gt;"",'Your debts'!$F$7&lt;&gt;"",'Your debts'!$F$10&lt;'Your debts'!$F$7),AB286,0)+IF(AND('Your debts'!$F$11&lt;&gt;"",'Your debts'!$F$7&lt;&gt;"",'Your debts'!$F$11&lt;'Your debts'!$F$7),AG286,0)+IF(AND('Your debts'!$F$12&lt;&gt;"",'Your debts'!$F$7&lt;&gt;"",'Your debts'!$F$12&lt;'Your debts'!$F$7),AL286,0)+IF(AND('Your debts'!$F$13&lt;&gt;"",'Your debts'!$F$7&lt;&gt;"",'Your debts'!$F$13&lt;'Your debts'!$F$7),AQ286,0)+IF(AND('Your debts'!$F$14&lt;&gt;"",'Your debts'!$F$7&lt;&gt;"",'Your debts'!$F$14&lt;'Your debts'!$F$7),AV286,0)+IF(AND('Your debts'!$F$15&lt;&gt;"",'Your debts'!$F$7&lt;&gt;"",'Your debts'!$F$15&lt;'Your debts'!$F$7),BA286,0)))))</f>
        <v/>
      </c>
      <c r="O286" s="33">
        <f>M286-N286</f>
        <v/>
      </c>
      <c r="P286" s="33">
        <f>IF(T285&lt;=0,0,ROUND(T285*(1+'Your debts'!$D$8/1200),2))</f>
        <v/>
      </c>
      <c r="Q286" s="33">
        <f>IF(P286&lt;=0,0,MIN('Your debts'!$E$8,P286))</f>
        <v/>
      </c>
      <c r="R286" s="33">
        <f>P286-Q286</f>
        <v/>
      </c>
      <c r="S286" s="33">
        <f>IF('Your debts'!$F$8="",0,MIN(R286,MAX(0,MAX(0,'Your debts'!$C$19-(G286+L286+Q286+V286+AA286+AF286+AK286+AP286+AU286+AZ286))-(IF(AND('Your debts'!$F$6&lt;&gt;"",'Your debts'!$F$8&lt;&gt;"",'Your debts'!$F$6&lt;'Your debts'!$F$8),H286,0)+IF(AND('Your debts'!$F$7&lt;&gt;"",'Your debts'!$F$8&lt;&gt;"",'Your debts'!$F$7&lt;'Your debts'!$F$8),M286,0)+IF(AND('Your debts'!$F$9&lt;&gt;"",'Your debts'!$F$8&lt;&gt;"",'Your debts'!$F$9&lt;'Your debts'!$F$8),W286,0)+IF(AND('Your debts'!$F$10&lt;&gt;"",'Your debts'!$F$8&lt;&gt;"",'Your debts'!$F$10&lt;'Your debts'!$F$8),AB286,0)+IF(AND('Your debts'!$F$11&lt;&gt;"",'Your debts'!$F$8&lt;&gt;"",'Your debts'!$F$11&lt;'Your debts'!$F$8),AG286,0)+IF(AND('Your debts'!$F$12&lt;&gt;"",'Your debts'!$F$8&lt;&gt;"",'Your debts'!$F$12&lt;'Your debts'!$F$8),AL286,0)+IF(AND('Your debts'!$F$13&lt;&gt;"",'Your debts'!$F$8&lt;&gt;"",'Your debts'!$F$13&lt;'Your debts'!$F$8),AQ286,0)+IF(AND('Your debts'!$F$14&lt;&gt;"",'Your debts'!$F$8&lt;&gt;"",'Your debts'!$F$14&lt;'Your debts'!$F$8),AV286,0)+IF(AND('Your debts'!$F$15&lt;&gt;"",'Your debts'!$F$8&lt;&gt;"",'Your debts'!$F$15&lt;'Your debts'!$F$8),BA286,0)))))</f>
        <v/>
      </c>
      <c r="T286" s="33">
        <f>R286-S286</f>
        <v/>
      </c>
      <c r="U286" s="33">
        <f>IF(Y285&lt;=0,0,ROUND(Y285*(1+'Your debts'!$D$9/1200),2))</f>
        <v/>
      </c>
      <c r="V286" s="33">
        <f>IF(U286&lt;=0,0,MIN('Your debts'!$E$9,U286))</f>
        <v/>
      </c>
      <c r="W286" s="33">
        <f>U286-V286</f>
        <v/>
      </c>
      <c r="X286" s="33">
        <f>IF('Your debts'!$F$9="",0,MIN(W286,MAX(0,MAX(0,'Your debts'!$C$19-(G286+L286+Q286+V286+AA286+AF286+AK286+AP286+AU286+AZ286))-(IF(AND('Your debts'!$F$6&lt;&gt;"",'Your debts'!$F$9&lt;&gt;"",'Your debts'!$F$6&lt;'Your debts'!$F$9),H286,0)+IF(AND('Your debts'!$F$7&lt;&gt;"",'Your debts'!$F$9&lt;&gt;"",'Your debts'!$F$7&lt;'Your debts'!$F$9),M286,0)+IF(AND('Your debts'!$F$8&lt;&gt;"",'Your debts'!$F$9&lt;&gt;"",'Your debts'!$F$8&lt;'Your debts'!$F$9),R286,0)+IF(AND('Your debts'!$F$10&lt;&gt;"",'Your debts'!$F$9&lt;&gt;"",'Your debts'!$F$10&lt;'Your debts'!$F$9),AB286,0)+IF(AND('Your debts'!$F$11&lt;&gt;"",'Your debts'!$F$9&lt;&gt;"",'Your debts'!$F$11&lt;'Your debts'!$F$9),AG286,0)+IF(AND('Your debts'!$F$12&lt;&gt;"",'Your debts'!$F$9&lt;&gt;"",'Your debts'!$F$12&lt;'Your debts'!$F$9),AL286,0)+IF(AND('Your debts'!$F$13&lt;&gt;"",'Your debts'!$F$9&lt;&gt;"",'Your debts'!$F$13&lt;'Your debts'!$F$9),AQ286,0)+IF(AND('Your debts'!$F$14&lt;&gt;"",'Your debts'!$F$9&lt;&gt;"",'Your debts'!$F$14&lt;'Your debts'!$F$9),AV286,0)+IF(AND('Your debts'!$F$15&lt;&gt;"",'Your debts'!$F$9&lt;&gt;"",'Your debts'!$F$15&lt;'Your debts'!$F$9),BA286,0)))))</f>
        <v/>
      </c>
      <c r="Y286" s="33">
        <f>W286-X286</f>
        <v/>
      </c>
      <c r="Z286" s="33">
        <f>IF(AD285&lt;=0,0,ROUND(AD285*(1+'Your debts'!$D$10/1200),2))</f>
        <v/>
      </c>
      <c r="AA286" s="33">
        <f>IF(Z286&lt;=0,0,MIN('Your debts'!$E$10,Z286))</f>
        <v/>
      </c>
      <c r="AB286" s="33">
        <f>Z286-AA286</f>
        <v/>
      </c>
      <c r="AC286" s="33">
        <f>IF('Your debts'!$F$10="",0,MIN(AB286,MAX(0,MAX(0,'Your debts'!$C$19-(G286+L286+Q286+V286+AA286+AF286+AK286+AP286+AU286+AZ286))-(IF(AND('Your debts'!$F$6&lt;&gt;"",'Your debts'!$F$10&lt;&gt;"",'Your debts'!$F$6&lt;'Your debts'!$F$10),H286,0)+IF(AND('Your debts'!$F$7&lt;&gt;"",'Your debts'!$F$10&lt;&gt;"",'Your debts'!$F$7&lt;'Your debts'!$F$10),M286,0)+IF(AND('Your debts'!$F$8&lt;&gt;"",'Your debts'!$F$10&lt;&gt;"",'Your debts'!$F$8&lt;'Your debts'!$F$10),R286,0)+IF(AND('Your debts'!$F$9&lt;&gt;"",'Your debts'!$F$10&lt;&gt;"",'Your debts'!$F$9&lt;'Your debts'!$F$10),W286,0)+IF(AND('Your debts'!$F$11&lt;&gt;"",'Your debts'!$F$10&lt;&gt;"",'Your debts'!$F$11&lt;'Your debts'!$F$10),AG286,0)+IF(AND('Your debts'!$F$12&lt;&gt;"",'Your debts'!$F$10&lt;&gt;"",'Your debts'!$F$12&lt;'Your debts'!$F$10),AL286,0)+IF(AND('Your debts'!$F$13&lt;&gt;"",'Your debts'!$F$10&lt;&gt;"",'Your debts'!$F$13&lt;'Your debts'!$F$10),AQ286,0)+IF(AND('Your debts'!$F$14&lt;&gt;"",'Your debts'!$F$10&lt;&gt;"",'Your debts'!$F$14&lt;'Your debts'!$F$10),AV286,0)+IF(AND('Your debts'!$F$15&lt;&gt;"",'Your debts'!$F$10&lt;&gt;"",'Your debts'!$F$15&lt;'Your debts'!$F$10),BA286,0)))))</f>
        <v/>
      </c>
      <c r="AD286" s="33">
        <f>AB286-AC286</f>
        <v/>
      </c>
      <c r="AE286" s="33">
        <f>IF(AI285&lt;=0,0,ROUND(AI285*(1+'Your debts'!$D$11/1200),2))</f>
        <v/>
      </c>
      <c r="AF286" s="33">
        <f>IF(AE286&lt;=0,0,MIN('Your debts'!$E$11,AE286))</f>
        <v/>
      </c>
      <c r="AG286" s="33">
        <f>AE286-AF286</f>
        <v/>
      </c>
      <c r="AH286" s="33">
        <f>IF('Your debts'!$F$11="",0,MIN(AG286,MAX(0,MAX(0,'Your debts'!$C$19-(G286+L286+Q286+V286+AA286+AF286+AK286+AP286+AU286+AZ286))-(IF(AND('Your debts'!$F$6&lt;&gt;"",'Your debts'!$F$11&lt;&gt;"",'Your debts'!$F$6&lt;'Your debts'!$F$11),H286,0)+IF(AND('Your debts'!$F$7&lt;&gt;"",'Your debts'!$F$11&lt;&gt;"",'Your debts'!$F$7&lt;'Your debts'!$F$11),M286,0)+IF(AND('Your debts'!$F$8&lt;&gt;"",'Your debts'!$F$11&lt;&gt;"",'Your debts'!$F$8&lt;'Your debts'!$F$11),R286,0)+IF(AND('Your debts'!$F$9&lt;&gt;"",'Your debts'!$F$11&lt;&gt;"",'Your debts'!$F$9&lt;'Your debts'!$F$11),W286,0)+IF(AND('Your debts'!$F$10&lt;&gt;"",'Your debts'!$F$11&lt;&gt;"",'Your debts'!$F$10&lt;'Your debts'!$F$11),AB286,0)+IF(AND('Your debts'!$F$12&lt;&gt;"",'Your debts'!$F$11&lt;&gt;"",'Your debts'!$F$12&lt;'Your debts'!$F$11),AL286,0)+IF(AND('Your debts'!$F$13&lt;&gt;"",'Your debts'!$F$11&lt;&gt;"",'Your debts'!$F$13&lt;'Your debts'!$F$11),AQ286,0)+IF(AND('Your debts'!$F$14&lt;&gt;"",'Your debts'!$F$11&lt;&gt;"",'Your debts'!$F$14&lt;'Your debts'!$F$11),AV286,0)+IF(AND('Your debts'!$F$15&lt;&gt;"",'Your debts'!$F$11&lt;&gt;"",'Your debts'!$F$15&lt;'Your debts'!$F$11),BA286,0)))))</f>
        <v/>
      </c>
      <c r="AI286" s="33">
        <f>AG286-AH286</f>
        <v/>
      </c>
      <c r="AJ286" s="33">
        <f>IF(AN285&lt;=0,0,ROUND(AN285*(1+'Your debts'!$D$12/1200),2))</f>
        <v/>
      </c>
      <c r="AK286" s="33">
        <f>IF(AJ286&lt;=0,0,MIN('Your debts'!$E$12,AJ286))</f>
        <v/>
      </c>
      <c r="AL286" s="33">
        <f>AJ286-AK286</f>
        <v/>
      </c>
      <c r="AM286" s="33">
        <f>IF('Your debts'!$F$12="",0,MIN(AL286,MAX(0,MAX(0,'Your debts'!$C$19-(G286+L286+Q286+V286+AA286+AF286+AK286+AP286+AU286+AZ286))-(IF(AND('Your debts'!$F$6&lt;&gt;"",'Your debts'!$F$12&lt;&gt;"",'Your debts'!$F$6&lt;'Your debts'!$F$12),H286,0)+IF(AND('Your debts'!$F$7&lt;&gt;"",'Your debts'!$F$12&lt;&gt;"",'Your debts'!$F$7&lt;'Your debts'!$F$12),M286,0)+IF(AND('Your debts'!$F$8&lt;&gt;"",'Your debts'!$F$12&lt;&gt;"",'Your debts'!$F$8&lt;'Your debts'!$F$12),R286,0)+IF(AND('Your debts'!$F$9&lt;&gt;"",'Your debts'!$F$12&lt;&gt;"",'Your debts'!$F$9&lt;'Your debts'!$F$12),W286,0)+IF(AND('Your debts'!$F$10&lt;&gt;"",'Your debts'!$F$12&lt;&gt;"",'Your debts'!$F$10&lt;'Your debts'!$F$12),AB286,0)+IF(AND('Your debts'!$F$11&lt;&gt;"",'Your debts'!$F$12&lt;&gt;"",'Your debts'!$F$11&lt;'Your debts'!$F$12),AG286,0)+IF(AND('Your debts'!$F$13&lt;&gt;"",'Your debts'!$F$12&lt;&gt;"",'Your debts'!$F$13&lt;'Your debts'!$F$12),AQ286,0)+IF(AND('Your debts'!$F$14&lt;&gt;"",'Your debts'!$F$12&lt;&gt;"",'Your debts'!$F$14&lt;'Your debts'!$F$12),AV286,0)+IF(AND('Your debts'!$F$15&lt;&gt;"",'Your debts'!$F$12&lt;&gt;"",'Your debts'!$F$15&lt;'Your debts'!$F$12),BA286,0)))))</f>
        <v/>
      </c>
      <c r="AN286" s="33">
        <f>AL286-AM286</f>
        <v/>
      </c>
      <c r="AO286" s="33">
        <f>IF(AS285&lt;=0,0,ROUND(AS285*(1+'Your debts'!$D$13/1200),2))</f>
        <v/>
      </c>
      <c r="AP286" s="33">
        <f>IF(AO286&lt;=0,0,MIN('Your debts'!$E$13,AO286))</f>
        <v/>
      </c>
      <c r="AQ286" s="33">
        <f>AO286-AP286</f>
        <v/>
      </c>
      <c r="AR286" s="33">
        <f>IF('Your debts'!$F$13="",0,MIN(AQ286,MAX(0,MAX(0,'Your debts'!$C$19-(G286+L286+Q286+V286+AA286+AF286+AK286+AP286+AU286+AZ286))-(IF(AND('Your debts'!$F$6&lt;&gt;"",'Your debts'!$F$13&lt;&gt;"",'Your debts'!$F$6&lt;'Your debts'!$F$13),H286,0)+IF(AND('Your debts'!$F$7&lt;&gt;"",'Your debts'!$F$13&lt;&gt;"",'Your debts'!$F$7&lt;'Your debts'!$F$13),M286,0)+IF(AND('Your debts'!$F$8&lt;&gt;"",'Your debts'!$F$13&lt;&gt;"",'Your debts'!$F$8&lt;'Your debts'!$F$13),R286,0)+IF(AND('Your debts'!$F$9&lt;&gt;"",'Your debts'!$F$13&lt;&gt;"",'Your debts'!$F$9&lt;'Your debts'!$F$13),W286,0)+IF(AND('Your debts'!$F$10&lt;&gt;"",'Your debts'!$F$13&lt;&gt;"",'Your debts'!$F$10&lt;'Your debts'!$F$13),AB286,0)+IF(AND('Your debts'!$F$11&lt;&gt;"",'Your debts'!$F$13&lt;&gt;"",'Your debts'!$F$11&lt;'Your debts'!$F$13),AG286,0)+IF(AND('Your debts'!$F$12&lt;&gt;"",'Your debts'!$F$13&lt;&gt;"",'Your debts'!$F$12&lt;'Your debts'!$F$13),AL286,0)+IF(AND('Your debts'!$F$14&lt;&gt;"",'Your debts'!$F$13&lt;&gt;"",'Your debts'!$F$14&lt;'Your debts'!$F$13),AV286,0)+IF(AND('Your debts'!$F$15&lt;&gt;"",'Your debts'!$F$13&lt;&gt;"",'Your debts'!$F$15&lt;'Your debts'!$F$13),BA286,0)))))</f>
        <v/>
      </c>
      <c r="AS286" s="33">
        <f>AQ286-AR286</f>
        <v/>
      </c>
      <c r="AT286" s="33">
        <f>IF(AX285&lt;=0,0,ROUND(AX285*(1+'Your debts'!$D$14/1200),2))</f>
        <v/>
      </c>
      <c r="AU286" s="33">
        <f>IF(AT286&lt;=0,0,MIN('Your debts'!$E$14,AT286))</f>
        <v/>
      </c>
      <c r="AV286" s="33">
        <f>AT286-AU286</f>
        <v/>
      </c>
      <c r="AW286" s="33">
        <f>IF('Your debts'!$F$14="",0,MIN(AV286,MAX(0,MAX(0,'Your debts'!$C$19-(G286+L286+Q286+V286+AA286+AF286+AK286+AP286+AU286+AZ286))-(IF(AND('Your debts'!$F$6&lt;&gt;"",'Your debts'!$F$14&lt;&gt;"",'Your debts'!$F$6&lt;'Your debts'!$F$14),H286,0)+IF(AND('Your debts'!$F$7&lt;&gt;"",'Your debts'!$F$14&lt;&gt;"",'Your debts'!$F$7&lt;'Your debts'!$F$14),M286,0)+IF(AND('Your debts'!$F$8&lt;&gt;"",'Your debts'!$F$14&lt;&gt;"",'Your debts'!$F$8&lt;'Your debts'!$F$14),R286,0)+IF(AND('Your debts'!$F$9&lt;&gt;"",'Your debts'!$F$14&lt;&gt;"",'Your debts'!$F$9&lt;'Your debts'!$F$14),W286,0)+IF(AND('Your debts'!$F$10&lt;&gt;"",'Your debts'!$F$14&lt;&gt;"",'Your debts'!$F$10&lt;'Your debts'!$F$14),AB286,0)+IF(AND('Your debts'!$F$11&lt;&gt;"",'Your debts'!$F$14&lt;&gt;"",'Your debts'!$F$11&lt;'Your debts'!$F$14),AG286,0)+IF(AND('Your debts'!$F$12&lt;&gt;"",'Your debts'!$F$14&lt;&gt;"",'Your debts'!$F$12&lt;'Your debts'!$F$14),AL286,0)+IF(AND('Your debts'!$F$13&lt;&gt;"",'Your debts'!$F$14&lt;&gt;"",'Your debts'!$F$13&lt;'Your debts'!$F$14),AQ286,0)+IF(AND('Your debts'!$F$15&lt;&gt;"",'Your debts'!$F$14&lt;&gt;"",'Your debts'!$F$15&lt;'Your debts'!$F$14),BA286,0)))))</f>
        <v/>
      </c>
      <c r="AX286" s="33">
        <f>AV286-AW286</f>
        <v/>
      </c>
      <c r="AY286" s="33">
        <f>IF(BC285&lt;=0,0,ROUND(BC285*(1+'Your debts'!$D$15/1200),2))</f>
        <v/>
      </c>
      <c r="AZ286" s="33">
        <f>IF(AY286&lt;=0,0,MIN('Your debts'!$E$15,AY286))</f>
        <v/>
      </c>
      <c r="BA286" s="33">
        <f>AY286-AZ286</f>
        <v/>
      </c>
      <c r="BB286" s="33">
        <f>IF('Your debts'!$F$15="",0,MIN(BA286,MAX(0,MAX(0,'Your debts'!$C$19-(G286+L286+Q286+V286+AA286+AF286+AK286+AP286+AU286+AZ286))-(IF(AND('Your debts'!$F$6&lt;&gt;"",'Your debts'!$F$15&lt;&gt;"",'Your debts'!$F$6&lt;'Your debts'!$F$15),H286,0)+IF(AND('Your debts'!$F$7&lt;&gt;"",'Your debts'!$F$15&lt;&gt;"",'Your debts'!$F$7&lt;'Your debts'!$F$15),M286,0)+IF(AND('Your debts'!$F$8&lt;&gt;"",'Your debts'!$F$15&lt;&gt;"",'Your debts'!$F$8&lt;'Your debts'!$F$15),R286,0)+IF(AND('Your debts'!$F$9&lt;&gt;"",'Your debts'!$F$15&lt;&gt;"",'Your debts'!$F$9&lt;'Your debts'!$F$15),W286,0)+IF(AND('Your debts'!$F$10&lt;&gt;"",'Your debts'!$F$15&lt;&gt;"",'Your debts'!$F$10&lt;'Your debts'!$F$15),AB286,0)+IF(AND('Your debts'!$F$11&lt;&gt;"",'Your debts'!$F$15&lt;&gt;"",'Your debts'!$F$11&lt;'Your debts'!$F$15),AG286,0)+IF(AND('Your debts'!$F$12&lt;&gt;"",'Your debts'!$F$15&lt;&gt;"",'Your debts'!$F$12&lt;'Your debts'!$F$15),AL286,0)+IF(AND('Your debts'!$F$13&lt;&gt;"",'Your debts'!$F$15&lt;&gt;"",'Your debts'!$F$13&lt;'Your debts'!$F$15),AQ286,0)+IF(AND('Your debts'!$F$14&lt;&gt;"",'Your debts'!$F$15&lt;&gt;"",'Your debts'!$F$14&lt;'Your debts'!$F$15),AV286,0)))))</f>
        <v/>
      </c>
      <c r="BC286" s="33">
        <f>BA286-BB286</f>
        <v/>
      </c>
    </row>
    <row r="287">
      <c r="A287" s="30" t="n">
        <v>272</v>
      </c>
      <c r="B287" s="31">
        <f>EDATE($B$15,272)</f>
        <v/>
      </c>
      <c r="C287" s="32">
        <f>IF(J286&lt;=0,0,F287-J286)+IF(O286&lt;=0,0,K287-O286)+IF(T286&lt;=0,0,P287-T286)+IF(Y286&lt;=0,0,U287-Y286)+IF(AD286&lt;=0,0,Z287-AD286)+IF(AI286&lt;=0,0,AE287-AI286)+IF(AN286&lt;=0,0,AJ287-AN286)+IF(AS286&lt;=0,0,AO287-AS286)+IF(AX286&lt;=0,0,AT287-AX286)+IF(BC286&lt;=0,0,AY287-BC286)</f>
        <v/>
      </c>
      <c r="D287" s="32">
        <f>G287+I287+L287+N287+Q287+S287+V287+X287+AA287+AC287+AF287+AH287+AK287+AM287+AP287+AR287+AU287+AW287+AZ287+BB287</f>
        <v/>
      </c>
      <c r="E287" s="32">
        <f>J287+O287+T287+Y287+AD287+AI287+AN287+AS287+AX287+BC287</f>
        <v/>
      </c>
      <c r="F287" s="33">
        <f>IF(J286&lt;=0,0,ROUND(J286*(1+'Your debts'!$D$6/1200),2))</f>
        <v/>
      </c>
      <c r="G287" s="33">
        <f>IF(F287&lt;=0,0,MIN('Your debts'!$E$6,F287))</f>
        <v/>
      </c>
      <c r="H287" s="33">
        <f>F287-G287</f>
        <v/>
      </c>
      <c r="I287" s="33">
        <f>IF('Your debts'!$F$6="",0,MIN(H287,MAX(0,MAX(0,'Your debts'!$C$19-(G287+L287+Q287+V287+AA287+AF287+AK287+AP287+AU287+AZ287))-(IF(AND('Your debts'!$F$7&lt;&gt;"",'Your debts'!$F$6&lt;&gt;"",'Your debts'!$F$7&lt;'Your debts'!$F$6),M287,0)+IF(AND('Your debts'!$F$8&lt;&gt;"",'Your debts'!$F$6&lt;&gt;"",'Your debts'!$F$8&lt;'Your debts'!$F$6),R287,0)+IF(AND('Your debts'!$F$9&lt;&gt;"",'Your debts'!$F$6&lt;&gt;"",'Your debts'!$F$9&lt;'Your debts'!$F$6),W287,0)+IF(AND('Your debts'!$F$10&lt;&gt;"",'Your debts'!$F$6&lt;&gt;"",'Your debts'!$F$10&lt;'Your debts'!$F$6),AB287,0)+IF(AND('Your debts'!$F$11&lt;&gt;"",'Your debts'!$F$6&lt;&gt;"",'Your debts'!$F$11&lt;'Your debts'!$F$6),AG287,0)+IF(AND('Your debts'!$F$12&lt;&gt;"",'Your debts'!$F$6&lt;&gt;"",'Your debts'!$F$12&lt;'Your debts'!$F$6),AL287,0)+IF(AND('Your debts'!$F$13&lt;&gt;"",'Your debts'!$F$6&lt;&gt;"",'Your debts'!$F$13&lt;'Your debts'!$F$6),AQ287,0)+IF(AND('Your debts'!$F$14&lt;&gt;"",'Your debts'!$F$6&lt;&gt;"",'Your debts'!$F$14&lt;'Your debts'!$F$6),AV287,0)+IF(AND('Your debts'!$F$15&lt;&gt;"",'Your debts'!$F$6&lt;&gt;"",'Your debts'!$F$15&lt;'Your debts'!$F$6),BA287,0)))))</f>
        <v/>
      </c>
      <c r="J287" s="33">
        <f>H287-I287</f>
        <v/>
      </c>
      <c r="K287" s="33">
        <f>IF(O286&lt;=0,0,ROUND(O286*(1+'Your debts'!$D$7/1200),2))</f>
        <v/>
      </c>
      <c r="L287" s="33">
        <f>IF(K287&lt;=0,0,MIN('Your debts'!$E$7,K287))</f>
        <v/>
      </c>
      <c r="M287" s="33">
        <f>K287-L287</f>
        <v/>
      </c>
      <c r="N287" s="33">
        <f>IF('Your debts'!$F$7="",0,MIN(M287,MAX(0,MAX(0,'Your debts'!$C$19-(G287+L287+Q287+V287+AA287+AF287+AK287+AP287+AU287+AZ287))-(IF(AND('Your debts'!$F$6&lt;&gt;"",'Your debts'!$F$7&lt;&gt;"",'Your debts'!$F$6&lt;'Your debts'!$F$7),H287,0)+IF(AND('Your debts'!$F$8&lt;&gt;"",'Your debts'!$F$7&lt;&gt;"",'Your debts'!$F$8&lt;'Your debts'!$F$7),R287,0)+IF(AND('Your debts'!$F$9&lt;&gt;"",'Your debts'!$F$7&lt;&gt;"",'Your debts'!$F$9&lt;'Your debts'!$F$7),W287,0)+IF(AND('Your debts'!$F$10&lt;&gt;"",'Your debts'!$F$7&lt;&gt;"",'Your debts'!$F$10&lt;'Your debts'!$F$7),AB287,0)+IF(AND('Your debts'!$F$11&lt;&gt;"",'Your debts'!$F$7&lt;&gt;"",'Your debts'!$F$11&lt;'Your debts'!$F$7),AG287,0)+IF(AND('Your debts'!$F$12&lt;&gt;"",'Your debts'!$F$7&lt;&gt;"",'Your debts'!$F$12&lt;'Your debts'!$F$7),AL287,0)+IF(AND('Your debts'!$F$13&lt;&gt;"",'Your debts'!$F$7&lt;&gt;"",'Your debts'!$F$13&lt;'Your debts'!$F$7),AQ287,0)+IF(AND('Your debts'!$F$14&lt;&gt;"",'Your debts'!$F$7&lt;&gt;"",'Your debts'!$F$14&lt;'Your debts'!$F$7),AV287,0)+IF(AND('Your debts'!$F$15&lt;&gt;"",'Your debts'!$F$7&lt;&gt;"",'Your debts'!$F$15&lt;'Your debts'!$F$7),BA287,0)))))</f>
        <v/>
      </c>
      <c r="O287" s="33">
        <f>M287-N287</f>
        <v/>
      </c>
      <c r="P287" s="33">
        <f>IF(T286&lt;=0,0,ROUND(T286*(1+'Your debts'!$D$8/1200),2))</f>
        <v/>
      </c>
      <c r="Q287" s="33">
        <f>IF(P287&lt;=0,0,MIN('Your debts'!$E$8,P287))</f>
        <v/>
      </c>
      <c r="R287" s="33">
        <f>P287-Q287</f>
        <v/>
      </c>
      <c r="S287" s="33">
        <f>IF('Your debts'!$F$8="",0,MIN(R287,MAX(0,MAX(0,'Your debts'!$C$19-(G287+L287+Q287+V287+AA287+AF287+AK287+AP287+AU287+AZ287))-(IF(AND('Your debts'!$F$6&lt;&gt;"",'Your debts'!$F$8&lt;&gt;"",'Your debts'!$F$6&lt;'Your debts'!$F$8),H287,0)+IF(AND('Your debts'!$F$7&lt;&gt;"",'Your debts'!$F$8&lt;&gt;"",'Your debts'!$F$7&lt;'Your debts'!$F$8),M287,0)+IF(AND('Your debts'!$F$9&lt;&gt;"",'Your debts'!$F$8&lt;&gt;"",'Your debts'!$F$9&lt;'Your debts'!$F$8),W287,0)+IF(AND('Your debts'!$F$10&lt;&gt;"",'Your debts'!$F$8&lt;&gt;"",'Your debts'!$F$10&lt;'Your debts'!$F$8),AB287,0)+IF(AND('Your debts'!$F$11&lt;&gt;"",'Your debts'!$F$8&lt;&gt;"",'Your debts'!$F$11&lt;'Your debts'!$F$8),AG287,0)+IF(AND('Your debts'!$F$12&lt;&gt;"",'Your debts'!$F$8&lt;&gt;"",'Your debts'!$F$12&lt;'Your debts'!$F$8),AL287,0)+IF(AND('Your debts'!$F$13&lt;&gt;"",'Your debts'!$F$8&lt;&gt;"",'Your debts'!$F$13&lt;'Your debts'!$F$8),AQ287,0)+IF(AND('Your debts'!$F$14&lt;&gt;"",'Your debts'!$F$8&lt;&gt;"",'Your debts'!$F$14&lt;'Your debts'!$F$8),AV287,0)+IF(AND('Your debts'!$F$15&lt;&gt;"",'Your debts'!$F$8&lt;&gt;"",'Your debts'!$F$15&lt;'Your debts'!$F$8),BA287,0)))))</f>
        <v/>
      </c>
      <c r="T287" s="33">
        <f>R287-S287</f>
        <v/>
      </c>
      <c r="U287" s="33">
        <f>IF(Y286&lt;=0,0,ROUND(Y286*(1+'Your debts'!$D$9/1200),2))</f>
        <v/>
      </c>
      <c r="V287" s="33">
        <f>IF(U287&lt;=0,0,MIN('Your debts'!$E$9,U287))</f>
        <v/>
      </c>
      <c r="W287" s="33">
        <f>U287-V287</f>
        <v/>
      </c>
      <c r="X287" s="33">
        <f>IF('Your debts'!$F$9="",0,MIN(W287,MAX(0,MAX(0,'Your debts'!$C$19-(G287+L287+Q287+V287+AA287+AF287+AK287+AP287+AU287+AZ287))-(IF(AND('Your debts'!$F$6&lt;&gt;"",'Your debts'!$F$9&lt;&gt;"",'Your debts'!$F$6&lt;'Your debts'!$F$9),H287,0)+IF(AND('Your debts'!$F$7&lt;&gt;"",'Your debts'!$F$9&lt;&gt;"",'Your debts'!$F$7&lt;'Your debts'!$F$9),M287,0)+IF(AND('Your debts'!$F$8&lt;&gt;"",'Your debts'!$F$9&lt;&gt;"",'Your debts'!$F$8&lt;'Your debts'!$F$9),R287,0)+IF(AND('Your debts'!$F$10&lt;&gt;"",'Your debts'!$F$9&lt;&gt;"",'Your debts'!$F$10&lt;'Your debts'!$F$9),AB287,0)+IF(AND('Your debts'!$F$11&lt;&gt;"",'Your debts'!$F$9&lt;&gt;"",'Your debts'!$F$11&lt;'Your debts'!$F$9),AG287,0)+IF(AND('Your debts'!$F$12&lt;&gt;"",'Your debts'!$F$9&lt;&gt;"",'Your debts'!$F$12&lt;'Your debts'!$F$9),AL287,0)+IF(AND('Your debts'!$F$13&lt;&gt;"",'Your debts'!$F$9&lt;&gt;"",'Your debts'!$F$13&lt;'Your debts'!$F$9),AQ287,0)+IF(AND('Your debts'!$F$14&lt;&gt;"",'Your debts'!$F$9&lt;&gt;"",'Your debts'!$F$14&lt;'Your debts'!$F$9),AV287,0)+IF(AND('Your debts'!$F$15&lt;&gt;"",'Your debts'!$F$9&lt;&gt;"",'Your debts'!$F$15&lt;'Your debts'!$F$9),BA287,0)))))</f>
        <v/>
      </c>
      <c r="Y287" s="33">
        <f>W287-X287</f>
        <v/>
      </c>
      <c r="Z287" s="33">
        <f>IF(AD286&lt;=0,0,ROUND(AD286*(1+'Your debts'!$D$10/1200),2))</f>
        <v/>
      </c>
      <c r="AA287" s="33">
        <f>IF(Z287&lt;=0,0,MIN('Your debts'!$E$10,Z287))</f>
        <v/>
      </c>
      <c r="AB287" s="33">
        <f>Z287-AA287</f>
        <v/>
      </c>
      <c r="AC287" s="33">
        <f>IF('Your debts'!$F$10="",0,MIN(AB287,MAX(0,MAX(0,'Your debts'!$C$19-(G287+L287+Q287+V287+AA287+AF287+AK287+AP287+AU287+AZ287))-(IF(AND('Your debts'!$F$6&lt;&gt;"",'Your debts'!$F$10&lt;&gt;"",'Your debts'!$F$6&lt;'Your debts'!$F$10),H287,0)+IF(AND('Your debts'!$F$7&lt;&gt;"",'Your debts'!$F$10&lt;&gt;"",'Your debts'!$F$7&lt;'Your debts'!$F$10),M287,0)+IF(AND('Your debts'!$F$8&lt;&gt;"",'Your debts'!$F$10&lt;&gt;"",'Your debts'!$F$8&lt;'Your debts'!$F$10),R287,0)+IF(AND('Your debts'!$F$9&lt;&gt;"",'Your debts'!$F$10&lt;&gt;"",'Your debts'!$F$9&lt;'Your debts'!$F$10),W287,0)+IF(AND('Your debts'!$F$11&lt;&gt;"",'Your debts'!$F$10&lt;&gt;"",'Your debts'!$F$11&lt;'Your debts'!$F$10),AG287,0)+IF(AND('Your debts'!$F$12&lt;&gt;"",'Your debts'!$F$10&lt;&gt;"",'Your debts'!$F$12&lt;'Your debts'!$F$10),AL287,0)+IF(AND('Your debts'!$F$13&lt;&gt;"",'Your debts'!$F$10&lt;&gt;"",'Your debts'!$F$13&lt;'Your debts'!$F$10),AQ287,0)+IF(AND('Your debts'!$F$14&lt;&gt;"",'Your debts'!$F$10&lt;&gt;"",'Your debts'!$F$14&lt;'Your debts'!$F$10),AV287,0)+IF(AND('Your debts'!$F$15&lt;&gt;"",'Your debts'!$F$10&lt;&gt;"",'Your debts'!$F$15&lt;'Your debts'!$F$10),BA287,0)))))</f>
        <v/>
      </c>
      <c r="AD287" s="33">
        <f>AB287-AC287</f>
        <v/>
      </c>
      <c r="AE287" s="33">
        <f>IF(AI286&lt;=0,0,ROUND(AI286*(1+'Your debts'!$D$11/1200),2))</f>
        <v/>
      </c>
      <c r="AF287" s="33">
        <f>IF(AE287&lt;=0,0,MIN('Your debts'!$E$11,AE287))</f>
        <v/>
      </c>
      <c r="AG287" s="33">
        <f>AE287-AF287</f>
        <v/>
      </c>
      <c r="AH287" s="33">
        <f>IF('Your debts'!$F$11="",0,MIN(AG287,MAX(0,MAX(0,'Your debts'!$C$19-(G287+L287+Q287+V287+AA287+AF287+AK287+AP287+AU287+AZ287))-(IF(AND('Your debts'!$F$6&lt;&gt;"",'Your debts'!$F$11&lt;&gt;"",'Your debts'!$F$6&lt;'Your debts'!$F$11),H287,0)+IF(AND('Your debts'!$F$7&lt;&gt;"",'Your debts'!$F$11&lt;&gt;"",'Your debts'!$F$7&lt;'Your debts'!$F$11),M287,0)+IF(AND('Your debts'!$F$8&lt;&gt;"",'Your debts'!$F$11&lt;&gt;"",'Your debts'!$F$8&lt;'Your debts'!$F$11),R287,0)+IF(AND('Your debts'!$F$9&lt;&gt;"",'Your debts'!$F$11&lt;&gt;"",'Your debts'!$F$9&lt;'Your debts'!$F$11),W287,0)+IF(AND('Your debts'!$F$10&lt;&gt;"",'Your debts'!$F$11&lt;&gt;"",'Your debts'!$F$10&lt;'Your debts'!$F$11),AB287,0)+IF(AND('Your debts'!$F$12&lt;&gt;"",'Your debts'!$F$11&lt;&gt;"",'Your debts'!$F$12&lt;'Your debts'!$F$11),AL287,0)+IF(AND('Your debts'!$F$13&lt;&gt;"",'Your debts'!$F$11&lt;&gt;"",'Your debts'!$F$13&lt;'Your debts'!$F$11),AQ287,0)+IF(AND('Your debts'!$F$14&lt;&gt;"",'Your debts'!$F$11&lt;&gt;"",'Your debts'!$F$14&lt;'Your debts'!$F$11),AV287,0)+IF(AND('Your debts'!$F$15&lt;&gt;"",'Your debts'!$F$11&lt;&gt;"",'Your debts'!$F$15&lt;'Your debts'!$F$11),BA287,0)))))</f>
        <v/>
      </c>
      <c r="AI287" s="33">
        <f>AG287-AH287</f>
        <v/>
      </c>
      <c r="AJ287" s="33">
        <f>IF(AN286&lt;=0,0,ROUND(AN286*(1+'Your debts'!$D$12/1200),2))</f>
        <v/>
      </c>
      <c r="AK287" s="33">
        <f>IF(AJ287&lt;=0,0,MIN('Your debts'!$E$12,AJ287))</f>
        <v/>
      </c>
      <c r="AL287" s="33">
        <f>AJ287-AK287</f>
        <v/>
      </c>
      <c r="AM287" s="33">
        <f>IF('Your debts'!$F$12="",0,MIN(AL287,MAX(0,MAX(0,'Your debts'!$C$19-(G287+L287+Q287+V287+AA287+AF287+AK287+AP287+AU287+AZ287))-(IF(AND('Your debts'!$F$6&lt;&gt;"",'Your debts'!$F$12&lt;&gt;"",'Your debts'!$F$6&lt;'Your debts'!$F$12),H287,0)+IF(AND('Your debts'!$F$7&lt;&gt;"",'Your debts'!$F$12&lt;&gt;"",'Your debts'!$F$7&lt;'Your debts'!$F$12),M287,0)+IF(AND('Your debts'!$F$8&lt;&gt;"",'Your debts'!$F$12&lt;&gt;"",'Your debts'!$F$8&lt;'Your debts'!$F$12),R287,0)+IF(AND('Your debts'!$F$9&lt;&gt;"",'Your debts'!$F$12&lt;&gt;"",'Your debts'!$F$9&lt;'Your debts'!$F$12),W287,0)+IF(AND('Your debts'!$F$10&lt;&gt;"",'Your debts'!$F$12&lt;&gt;"",'Your debts'!$F$10&lt;'Your debts'!$F$12),AB287,0)+IF(AND('Your debts'!$F$11&lt;&gt;"",'Your debts'!$F$12&lt;&gt;"",'Your debts'!$F$11&lt;'Your debts'!$F$12),AG287,0)+IF(AND('Your debts'!$F$13&lt;&gt;"",'Your debts'!$F$12&lt;&gt;"",'Your debts'!$F$13&lt;'Your debts'!$F$12),AQ287,0)+IF(AND('Your debts'!$F$14&lt;&gt;"",'Your debts'!$F$12&lt;&gt;"",'Your debts'!$F$14&lt;'Your debts'!$F$12),AV287,0)+IF(AND('Your debts'!$F$15&lt;&gt;"",'Your debts'!$F$12&lt;&gt;"",'Your debts'!$F$15&lt;'Your debts'!$F$12),BA287,0)))))</f>
        <v/>
      </c>
      <c r="AN287" s="33">
        <f>AL287-AM287</f>
        <v/>
      </c>
      <c r="AO287" s="33">
        <f>IF(AS286&lt;=0,0,ROUND(AS286*(1+'Your debts'!$D$13/1200),2))</f>
        <v/>
      </c>
      <c r="AP287" s="33">
        <f>IF(AO287&lt;=0,0,MIN('Your debts'!$E$13,AO287))</f>
        <v/>
      </c>
      <c r="AQ287" s="33">
        <f>AO287-AP287</f>
        <v/>
      </c>
      <c r="AR287" s="33">
        <f>IF('Your debts'!$F$13="",0,MIN(AQ287,MAX(0,MAX(0,'Your debts'!$C$19-(G287+L287+Q287+V287+AA287+AF287+AK287+AP287+AU287+AZ287))-(IF(AND('Your debts'!$F$6&lt;&gt;"",'Your debts'!$F$13&lt;&gt;"",'Your debts'!$F$6&lt;'Your debts'!$F$13),H287,0)+IF(AND('Your debts'!$F$7&lt;&gt;"",'Your debts'!$F$13&lt;&gt;"",'Your debts'!$F$7&lt;'Your debts'!$F$13),M287,0)+IF(AND('Your debts'!$F$8&lt;&gt;"",'Your debts'!$F$13&lt;&gt;"",'Your debts'!$F$8&lt;'Your debts'!$F$13),R287,0)+IF(AND('Your debts'!$F$9&lt;&gt;"",'Your debts'!$F$13&lt;&gt;"",'Your debts'!$F$9&lt;'Your debts'!$F$13),W287,0)+IF(AND('Your debts'!$F$10&lt;&gt;"",'Your debts'!$F$13&lt;&gt;"",'Your debts'!$F$10&lt;'Your debts'!$F$13),AB287,0)+IF(AND('Your debts'!$F$11&lt;&gt;"",'Your debts'!$F$13&lt;&gt;"",'Your debts'!$F$11&lt;'Your debts'!$F$13),AG287,0)+IF(AND('Your debts'!$F$12&lt;&gt;"",'Your debts'!$F$13&lt;&gt;"",'Your debts'!$F$12&lt;'Your debts'!$F$13),AL287,0)+IF(AND('Your debts'!$F$14&lt;&gt;"",'Your debts'!$F$13&lt;&gt;"",'Your debts'!$F$14&lt;'Your debts'!$F$13),AV287,0)+IF(AND('Your debts'!$F$15&lt;&gt;"",'Your debts'!$F$13&lt;&gt;"",'Your debts'!$F$15&lt;'Your debts'!$F$13),BA287,0)))))</f>
        <v/>
      </c>
      <c r="AS287" s="33">
        <f>AQ287-AR287</f>
        <v/>
      </c>
      <c r="AT287" s="33">
        <f>IF(AX286&lt;=0,0,ROUND(AX286*(1+'Your debts'!$D$14/1200),2))</f>
        <v/>
      </c>
      <c r="AU287" s="33">
        <f>IF(AT287&lt;=0,0,MIN('Your debts'!$E$14,AT287))</f>
        <v/>
      </c>
      <c r="AV287" s="33">
        <f>AT287-AU287</f>
        <v/>
      </c>
      <c r="AW287" s="33">
        <f>IF('Your debts'!$F$14="",0,MIN(AV287,MAX(0,MAX(0,'Your debts'!$C$19-(G287+L287+Q287+V287+AA287+AF287+AK287+AP287+AU287+AZ287))-(IF(AND('Your debts'!$F$6&lt;&gt;"",'Your debts'!$F$14&lt;&gt;"",'Your debts'!$F$6&lt;'Your debts'!$F$14),H287,0)+IF(AND('Your debts'!$F$7&lt;&gt;"",'Your debts'!$F$14&lt;&gt;"",'Your debts'!$F$7&lt;'Your debts'!$F$14),M287,0)+IF(AND('Your debts'!$F$8&lt;&gt;"",'Your debts'!$F$14&lt;&gt;"",'Your debts'!$F$8&lt;'Your debts'!$F$14),R287,0)+IF(AND('Your debts'!$F$9&lt;&gt;"",'Your debts'!$F$14&lt;&gt;"",'Your debts'!$F$9&lt;'Your debts'!$F$14),W287,0)+IF(AND('Your debts'!$F$10&lt;&gt;"",'Your debts'!$F$14&lt;&gt;"",'Your debts'!$F$10&lt;'Your debts'!$F$14),AB287,0)+IF(AND('Your debts'!$F$11&lt;&gt;"",'Your debts'!$F$14&lt;&gt;"",'Your debts'!$F$11&lt;'Your debts'!$F$14),AG287,0)+IF(AND('Your debts'!$F$12&lt;&gt;"",'Your debts'!$F$14&lt;&gt;"",'Your debts'!$F$12&lt;'Your debts'!$F$14),AL287,0)+IF(AND('Your debts'!$F$13&lt;&gt;"",'Your debts'!$F$14&lt;&gt;"",'Your debts'!$F$13&lt;'Your debts'!$F$14),AQ287,0)+IF(AND('Your debts'!$F$15&lt;&gt;"",'Your debts'!$F$14&lt;&gt;"",'Your debts'!$F$15&lt;'Your debts'!$F$14),BA287,0)))))</f>
        <v/>
      </c>
      <c r="AX287" s="33">
        <f>AV287-AW287</f>
        <v/>
      </c>
      <c r="AY287" s="33">
        <f>IF(BC286&lt;=0,0,ROUND(BC286*(1+'Your debts'!$D$15/1200),2))</f>
        <v/>
      </c>
      <c r="AZ287" s="33">
        <f>IF(AY287&lt;=0,0,MIN('Your debts'!$E$15,AY287))</f>
        <v/>
      </c>
      <c r="BA287" s="33">
        <f>AY287-AZ287</f>
        <v/>
      </c>
      <c r="BB287" s="33">
        <f>IF('Your debts'!$F$15="",0,MIN(BA287,MAX(0,MAX(0,'Your debts'!$C$19-(G287+L287+Q287+V287+AA287+AF287+AK287+AP287+AU287+AZ287))-(IF(AND('Your debts'!$F$6&lt;&gt;"",'Your debts'!$F$15&lt;&gt;"",'Your debts'!$F$6&lt;'Your debts'!$F$15),H287,0)+IF(AND('Your debts'!$F$7&lt;&gt;"",'Your debts'!$F$15&lt;&gt;"",'Your debts'!$F$7&lt;'Your debts'!$F$15),M287,0)+IF(AND('Your debts'!$F$8&lt;&gt;"",'Your debts'!$F$15&lt;&gt;"",'Your debts'!$F$8&lt;'Your debts'!$F$15),R287,0)+IF(AND('Your debts'!$F$9&lt;&gt;"",'Your debts'!$F$15&lt;&gt;"",'Your debts'!$F$9&lt;'Your debts'!$F$15),W287,0)+IF(AND('Your debts'!$F$10&lt;&gt;"",'Your debts'!$F$15&lt;&gt;"",'Your debts'!$F$10&lt;'Your debts'!$F$15),AB287,0)+IF(AND('Your debts'!$F$11&lt;&gt;"",'Your debts'!$F$15&lt;&gt;"",'Your debts'!$F$11&lt;'Your debts'!$F$15),AG287,0)+IF(AND('Your debts'!$F$12&lt;&gt;"",'Your debts'!$F$15&lt;&gt;"",'Your debts'!$F$12&lt;'Your debts'!$F$15),AL287,0)+IF(AND('Your debts'!$F$13&lt;&gt;"",'Your debts'!$F$15&lt;&gt;"",'Your debts'!$F$13&lt;'Your debts'!$F$15),AQ287,0)+IF(AND('Your debts'!$F$14&lt;&gt;"",'Your debts'!$F$15&lt;&gt;"",'Your debts'!$F$14&lt;'Your debts'!$F$15),AV287,0)))))</f>
        <v/>
      </c>
      <c r="BC287" s="33">
        <f>BA287-BB287</f>
        <v/>
      </c>
    </row>
    <row r="288">
      <c r="A288" s="30" t="n">
        <v>273</v>
      </c>
      <c r="B288" s="31">
        <f>EDATE($B$15,273)</f>
        <v/>
      </c>
      <c r="C288" s="32">
        <f>IF(J287&lt;=0,0,F288-J287)+IF(O287&lt;=0,0,K288-O287)+IF(T287&lt;=0,0,P288-T287)+IF(Y287&lt;=0,0,U288-Y287)+IF(AD287&lt;=0,0,Z288-AD287)+IF(AI287&lt;=0,0,AE288-AI287)+IF(AN287&lt;=0,0,AJ288-AN287)+IF(AS287&lt;=0,0,AO288-AS287)+IF(AX287&lt;=0,0,AT288-AX287)+IF(BC287&lt;=0,0,AY288-BC287)</f>
        <v/>
      </c>
      <c r="D288" s="32">
        <f>G288+I288+L288+N288+Q288+S288+V288+X288+AA288+AC288+AF288+AH288+AK288+AM288+AP288+AR288+AU288+AW288+AZ288+BB288</f>
        <v/>
      </c>
      <c r="E288" s="32">
        <f>J288+O288+T288+Y288+AD288+AI288+AN288+AS288+AX288+BC288</f>
        <v/>
      </c>
      <c r="F288" s="33">
        <f>IF(J287&lt;=0,0,ROUND(J287*(1+'Your debts'!$D$6/1200),2))</f>
        <v/>
      </c>
      <c r="G288" s="33">
        <f>IF(F288&lt;=0,0,MIN('Your debts'!$E$6,F288))</f>
        <v/>
      </c>
      <c r="H288" s="33">
        <f>F288-G288</f>
        <v/>
      </c>
      <c r="I288" s="33">
        <f>IF('Your debts'!$F$6="",0,MIN(H288,MAX(0,MAX(0,'Your debts'!$C$19-(G288+L288+Q288+V288+AA288+AF288+AK288+AP288+AU288+AZ288))-(IF(AND('Your debts'!$F$7&lt;&gt;"",'Your debts'!$F$6&lt;&gt;"",'Your debts'!$F$7&lt;'Your debts'!$F$6),M288,0)+IF(AND('Your debts'!$F$8&lt;&gt;"",'Your debts'!$F$6&lt;&gt;"",'Your debts'!$F$8&lt;'Your debts'!$F$6),R288,0)+IF(AND('Your debts'!$F$9&lt;&gt;"",'Your debts'!$F$6&lt;&gt;"",'Your debts'!$F$9&lt;'Your debts'!$F$6),W288,0)+IF(AND('Your debts'!$F$10&lt;&gt;"",'Your debts'!$F$6&lt;&gt;"",'Your debts'!$F$10&lt;'Your debts'!$F$6),AB288,0)+IF(AND('Your debts'!$F$11&lt;&gt;"",'Your debts'!$F$6&lt;&gt;"",'Your debts'!$F$11&lt;'Your debts'!$F$6),AG288,0)+IF(AND('Your debts'!$F$12&lt;&gt;"",'Your debts'!$F$6&lt;&gt;"",'Your debts'!$F$12&lt;'Your debts'!$F$6),AL288,0)+IF(AND('Your debts'!$F$13&lt;&gt;"",'Your debts'!$F$6&lt;&gt;"",'Your debts'!$F$13&lt;'Your debts'!$F$6),AQ288,0)+IF(AND('Your debts'!$F$14&lt;&gt;"",'Your debts'!$F$6&lt;&gt;"",'Your debts'!$F$14&lt;'Your debts'!$F$6),AV288,0)+IF(AND('Your debts'!$F$15&lt;&gt;"",'Your debts'!$F$6&lt;&gt;"",'Your debts'!$F$15&lt;'Your debts'!$F$6),BA288,0)))))</f>
        <v/>
      </c>
      <c r="J288" s="33">
        <f>H288-I288</f>
        <v/>
      </c>
      <c r="K288" s="33">
        <f>IF(O287&lt;=0,0,ROUND(O287*(1+'Your debts'!$D$7/1200),2))</f>
        <v/>
      </c>
      <c r="L288" s="33">
        <f>IF(K288&lt;=0,0,MIN('Your debts'!$E$7,K288))</f>
        <v/>
      </c>
      <c r="M288" s="33">
        <f>K288-L288</f>
        <v/>
      </c>
      <c r="N288" s="33">
        <f>IF('Your debts'!$F$7="",0,MIN(M288,MAX(0,MAX(0,'Your debts'!$C$19-(G288+L288+Q288+V288+AA288+AF288+AK288+AP288+AU288+AZ288))-(IF(AND('Your debts'!$F$6&lt;&gt;"",'Your debts'!$F$7&lt;&gt;"",'Your debts'!$F$6&lt;'Your debts'!$F$7),H288,0)+IF(AND('Your debts'!$F$8&lt;&gt;"",'Your debts'!$F$7&lt;&gt;"",'Your debts'!$F$8&lt;'Your debts'!$F$7),R288,0)+IF(AND('Your debts'!$F$9&lt;&gt;"",'Your debts'!$F$7&lt;&gt;"",'Your debts'!$F$9&lt;'Your debts'!$F$7),W288,0)+IF(AND('Your debts'!$F$10&lt;&gt;"",'Your debts'!$F$7&lt;&gt;"",'Your debts'!$F$10&lt;'Your debts'!$F$7),AB288,0)+IF(AND('Your debts'!$F$11&lt;&gt;"",'Your debts'!$F$7&lt;&gt;"",'Your debts'!$F$11&lt;'Your debts'!$F$7),AG288,0)+IF(AND('Your debts'!$F$12&lt;&gt;"",'Your debts'!$F$7&lt;&gt;"",'Your debts'!$F$12&lt;'Your debts'!$F$7),AL288,0)+IF(AND('Your debts'!$F$13&lt;&gt;"",'Your debts'!$F$7&lt;&gt;"",'Your debts'!$F$13&lt;'Your debts'!$F$7),AQ288,0)+IF(AND('Your debts'!$F$14&lt;&gt;"",'Your debts'!$F$7&lt;&gt;"",'Your debts'!$F$14&lt;'Your debts'!$F$7),AV288,0)+IF(AND('Your debts'!$F$15&lt;&gt;"",'Your debts'!$F$7&lt;&gt;"",'Your debts'!$F$15&lt;'Your debts'!$F$7),BA288,0)))))</f>
        <v/>
      </c>
      <c r="O288" s="33">
        <f>M288-N288</f>
        <v/>
      </c>
      <c r="P288" s="33">
        <f>IF(T287&lt;=0,0,ROUND(T287*(1+'Your debts'!$D$8/1200),2))</f>
        <v/>
      </c>
      <c r="Q288" s="33">
        <f>IF(P288&lt;=0,0,MIN('Your debts'!$E$8,P288))</f>
        <v/>
      </c>
      <c r="R288" s="33">
        <f>P288-Q288</f>
        <v/>
      </c>
      <c r="S288" s="33">
        <f>IF('Your debts'!$F$8="",0,MIN(R288,MAX(0,MAX(0,'Your debts'!$C$19-(G288+L288+Q288+V288+AA288+AF288+AK288+AP288+AU288+AZ288))-(IF(AND('Your debts'!$F$6&lt;&gt;"",'Your debts'!$F$8&lt;&gt;"",'Your debts'!$F$6&lt;'Your debts'!$F$8),H288,0)+IF(AND('Your debts'!$F$7&lt;&gt;"",'Your debts'!$F$8&lt;&gt;"",'Your debts'!$F$7&lt;'Your debts'!$F$8),M288,0)+IF(AND('Your debts'!$F$9&lt;&gt;"",'Your debts'!$F$8&lt;&gt;"",'Your debts'!$F$9&lt;'Your debts'!$F$8),W288,0)+IF(AND('Your debts'!$F$10&lt;&gt;"",'Your debts'!$F$8&lt;&gt;"",'Your debts'!$F$10&lt;'Your debts'!$F$8),AB288,0)+IF(AND('Your debts'!$F$11&lt;&gt;"",'Your debts'!$F$8&lt;&gt;"",'Your debts'!$F$11&lt;'Your debts'!$F$8),AG288,0)+IF(AND('Your debts'!$F$12&lt;&gt;"",'Your debts'!$F$8&lt;&gt;"",'Your debts'!$F$12&lt;'Your debts'!$F$8),AL288,0)+IF(AND('Your debts'!$F$13&lt;&gt;"",'Your debts'!$F$8&lt;&gt;"",'Your debts'!$F$13&lt;'Your debts'!$F$8),AQ288,0)+IF(AND('Your debts'!$F$14&lt;&gt;"",'Your debts'!$F$8&lt;&gt;"",'Your debts'!$F$14&lt;'Your debts'!$F$8),AV288,0)+IF(AND('Your debts'!$F$15&lt;&gt;"",'Your debts'!$F$8&lt;&gt;"",'Your debts'!$F$15&lt;'Your debts'!$F$8),BA288,0)))))</f>
        <v/>
      </c>
      <c r="T288" s="33">
        <f>R288-S288</f>
        <v/>
      </c>
      <c r="U288" s="33">
        <f>IF(Y287&lt;=0,0,ROUND(Y287*(1+'Your debts'!$D$9/1200),2))</f>
        <v/>
      </c>
      <c r="V288" s="33">
        <f>IF(U288&lt;=0,0,MIN('Your debts'!$E$9,U288))</f>
        <v/>
      </c>
      <c r="W288" s="33">
        <f>U288-V288</f>
        <v/>
      </c>
      <c r="X288" s="33">
        <f>IF('Your debts'!$F$9="",0,MIN(W288,MAX(0,MAX(0,'Your debts'!$C$19-(G288+L288+Q288+V288+AA288+AF288+AK288+AP288+AU288+AZ288))-(IF(AND('Your debts'!$F$6&lt;&gt;"",'Your debts'!$F$9&lt;&gt;"",'Your debts'!$F$6&lt;'Your debts'!$F$9),H288,0)+IF(AND('Your debts'!$F$7&lt;&gt;"",'Your debts'!$F$9&lt;&gt;"",'Your debts'!$F$7&lt;'Your debts'!$F$9),M288,0)+IF(AND('Your debts'!$F$8&lt;&gt;"",'Your debts'!$F$9&lt;&gt;"",'Your debts'!$F$8&lt;'Your debts'!$F$9),R288,0)+IF(AND('Your debts'!$F$10&lt;&gt;"",'Your debts'!$F$9&lt;&gt;"",'Your debts'!$F$10&lt;'Your debts'!$F$9),AB288,0)+IF(AND('Your debts'!$F$11&lt;&gt;"",'Your debts'!$F$9&lt;&gt;"",'Your debts'!$F$11&lt;'Your debts'!$F$9),AG288,0)+IF(AND('Your debts'!$F$12&lt;&gt;"",'Your debts'!$F$9&lt;&gt;"",'Your debts'!$F$12&lt;'Your debts'!$F$9),AL288,0)+IF(AND('Your debts'!$F$13&lt;&gt;"",'Your debts'!$F$9&lt;&gt;"",'Your debts'!$F$13&lt;'Your debts'!$F$9),AQ288,0)+IF(AND('Your debts'!$F$14&lt;&gt;"",'Your debts'!$F$9&lt;&gt;"",'Your debts'!$F$14&lt;'Your debts'!$F$9),AV288,0)+IF(AND('Your debts'!$F$15&lt;&gt;"",'Your debts'!$F$9&lt;&gt;"",'Your debts'!$F$15&lt;'Your debts'!$F$9),BA288,0)))))</f>
        <v/>
      </c>
      <c r="Y288" s="33">
        <f>W288-X288</f>
        <v/>
      </c>
      <c r="Z288" s="33">
        <f>IF(AD287&lt;=0,0,ROUND(AD287*(1+'Your debts'!$D$10/1200),2))</f>
        <v/>
      </c>
      <c r="AA288" s="33">
        <f>IF(Z288&lt;=0,0,MIN('Your debts'!$E$10,Z288))</f>
        <v/>
      </c>
      <c r="AB288" s="33">
        <f>Z288-AA288</f>
        <v/>
      </c>
      <c r="AC288" s="33">
        <f>IF('Your debts'!$F$10="",0,MIN(AB288,MAX(0,MAX(0,'Your debts'!$C$19-(G288+L288+Q288+V288+AA288+AF288+AK288+AP288+AU288+AZ288))-(IF(AND('Your debts'!$F$6&lt;&gt;"",'Your debts'!$F$10&lt;&gt;"",'Your debts'!$F$6&lt;'Your debts'!$F$10),H288,0)+IF(AND('Your debts'!$F$7&lt;&gt;"",'Your debts'!$F$10&lt;&gt;"",'Your debts'!$F$7&lt;'Your debts'!$F$10),M288,0)+IF(AND('Your debts'!$F$8&lt;&gt;"",'Your debts'!$F$10&lt;&gt;"",'Your debts'!$F$8&lt;'Your debts'!$F$10),R288,0)+IF(AND('Your debts'!$F$9&lt;&gt;"",'Your debts'!$F$10&lt;&gt;"",'Your debts'!$F$9&lt;'Your debts'!$F$10),W288,0)+IF(AND('Your debts'!$F$11&lt;&gt;"",'Your debts'!$F$10&lt;&gt;"",'Your debts'!$F$11&lt;'Your debts'!$F$10),AG288,0)+IF(AND('Your debts'!$F$12&lt;&gt;"",'Your debts'!$F$10&lt;&gt;"",'Your debts'!$F$12&lt;'Your debts'!$F$10),AL288,0)+IF(AND('Your debts'!$F$13&lt;&gt;"",'Your debts'!$F$10&lt;&gt;"",'Your debts'!$F$13&lt;'Your debts'!$F$10),AQ288,0)+IF(AND('Your debts'!$F$14&lt;&gt;"",'Your debts'!$F$10&lt;&gt;"",'Your debts'!$F$14&lt;'Your debts'!$F$10),AV288,0)+IF(AND('Your debts'!$F$15&lt;&gt;"",'Your debts'!$F$10&lt;&gt;"",'Your debts'!$F$15&lt;'Your debts'!$F$10),BA288,0)))))</f>
        <v/>
      </c>
      <c r="AD288" s="33">
        <f>AB288-AC288</f>
        <v/>
      </c>
      <c r="AE288" s="33">
        <f>IF(AI287&lt;=0,0,ROUND(AI287*(1+'Your debts'!$D$11/1200),2))</f>
        <v/>
      </c>
      <c r="AF288" s="33">
        <f>IF(AE288&lt;=0,0,MIN('Your debts'!$E$11,AE288))</f>
        <v/>
      </c>
      <c r="AG288" s="33">
        <f>AE288-AF288</f>
        <v/>
      </c>
      <c r="AH288" s="33">
        <f>IF('Your debts'!$F$11="",0,MIN(AG288,MAX(0,MAX(0,'Your debts'!$C$19-(G288+L288+Q288+V288+AA288+AF288+AK288+AP288+AU288+AZ288))-(IF(AND('Your debts'!$F$6&lt;&gt;"",'Your debts'!$F$11&lt;&gt;"",'Your debts'!$F$6&lt;'Your debts'!$F$11),H288,0)+IF(AND('Your debts'!$F$7&lt;&gt;"",'Your debts'!$F$11&lt;&gt;"",'Your debts'!$F$7&lt;'Your debts'!$F$11),M288,0)+IF(AND('Your debts'!$F$8&lt;&gt;"",'Your debts'!$F$11&lt;&gt;"",'Your debts'!$F$8&lt;'Your debts'!$F$11),R288,0)+IF(AND('Your debts'!$F$9&lt;&gt;"",'Your debts'!$F$11&lt;&gt;"",'Your debts'!$F$9&lt;'Your debts'!$F$11),W288,0)+IF(AND('Your debts'!$F$10&lt;&gt;"",'Your debts'!$F$11&lt;&gt;"",'Your debts'!$F$10&lt;'Your debts'!$F$11),AB288,0)+IF(AND('Your debts'!$F$12&lt;&gt;"",'Your debts'!$F$11&lt;&gt;"",'Your debts'!$F$12&lt;'Your debts'!$F$11),AL288,0)+IF(AND('Your debts'!$F$13&lt;&gt;"",'Your debts'!$F$11&lt;&gt;"",'Your debts'!$F$13&lt;'Your debts'!$F$11),AQ288,0)+IF(AND('Your debts'!$F$14&lt;&gt;"",'Your debts'!$F$11&lt;&gt;"",'Your debts'!$F$14&lt;'Your debts'!$F$11),AV288,0)+IF(AND('Your debts'!$F$15&lt;&gt;"",'Your debts'!$F$11&lt;&gt;"",'Your debts'!$F$15&lt;'Your debts'!$F$11),BA288,0)))))</f>
        <v/>
      </c>
      <c r="AI288" s="33">
        <f>AG288-AH288</f>
        <v/>
      </c>
      <c r="AJ288" s="33">
        <f>IF(AN287&lt;=0,0,ROUND(AN287*(1+'Your debts'!$D$12/1200),2))</f>
        <v/>
      </c>
      <c r="AK288" s="33">
        <f>IF(AJ288&lt;=0,0,MIN('Your debts'!$E$12,AJ288))</f>
        <v/>
      </c>
      <c r="AL288" s="33">
        <f>AJ288-AK288</f>
        <v/>
      </c>
      <c r="AM288" s="33">
        <f>IF('Your debts'!$F$12="",0,MIN(AL288,MAX(0,MAX(0,'Your debts'!$C$19-(G288+L288+Q288+V288+AA288+AF288+AK288+AP288+AU288+AZ288))-(IF(AND('Your debts'!$F$6&lt;&gt;"",'Your debts'!$F$12&lt;&gt;"",'Your debts'!$F$6&lt;'Your debts'!$F$12),H288,0)+IF(AND('Your debts'!$F$7&lt;&gt;"",'Your debts'!$F$12&lt;&gt;"",'Your debts'!$F$7&lt;'Your debts'!$F$12),M288,0)+IF(AND('Your debts'!$F$8&lt;&gt;"",'Your debts'!$F$12&lt;&gt;"",'Your debts'!$F$8&lt;'Your debts'!$F$12),R288,0)+IF(AND('Your debts'!$F$9&lt;&gt;"",'Your debts'!$F$12&lt;&gt;"",'Your debts'!$F$9&lt;'Your debts'!$F$12),W288,0)+IF(AND('Your debts'!$F$10&lt;&gt;"",'Your debts'!$F$12&lt;&gt;"",'Your debts'!$F$10&lt;'Your debts'!$F$12),AB288,0)+IF(AND('Your debts'!$F$11&lt;&gt;"",'Your debts'!$F$12&lt;&gt;"",'Your debts'!$F$11&lt;'Your debts'!$F$12),AG288,0)+IF(AND('Your debts'!$F$13&lt;&gt;"",'Your debts'!$F$12&lt;&gt;"",'Your debts'!$F$13&lt;'Your debts'!$F$12),AQ288,0)+IF(AND('Your debts'!$F$14&lt;&gt;"",'Your debts'!$F$12&lt;&gt;"",'Your debts'!$F$14&lt;'Your debts'!$F$12),AV288,0)+IF(AND('Your debts'!$F$15&lt;&gt;"",'Your debts'!$F$12&lt;&gt;"",'Your debts'!$F$15&lt;'Your debts'!$F$12),BA288,0)))))</f>
        <v/>
      </c>
      <c r="AN288" s="33">
        <f>AL288-AM288</f>
        <v/>
      </c>
      <c r="AO288" s="33">
        <f>IF(AS287&lt;=0,0,ROUND(AS287*(1+'Your debts'!$D$13/1200),2))</f>
        <v/>
      </c>
      <c r="AP288" s="33">
        <f>IF(AO288&lt;=0,0,MIN('Your debts'!$E$13,AO288))</f>
        <v/>
      </c>
      <c r="AQ288" s="33">
        <f>AO288-AP288</f>
        <v/>
      </c>
      <c r="AR288" s="33">
        <f>IF('Your debts'!$F$13="",0,MIN(AQ288,MAX(0,MAX(0,'Your debts'!$C$19-(G288+L288+Q288+V288+AA288+AF288+AK288+AP288+AU288+AZ288))-(IF(AND('Your debts'!$F$6&lt;&gt;"",'Your debts'!$F$13&lt;&gt;"",'Your debts'!$F$6&lt;'Your debts'!$F$13),H288,0)+IF(AND('Your debts'!$F$7&lt;&gt;"",'Your debts'!$F$13&lt;&gt;"",'Your debts'!$F$7&lt;'Your debts'!$F$13),M288,0)+IF(AND('Your debts'!$F$8&lt;&gt;"",'Your debts'!$F$13&lt;&gt;"",'Your debts'!$F$8&lt;'Your debts'!$F$13),R288,0)+IF(AND('Your debts'!$F$9&lt;&gt;"",'Your debts'!$F$13&lt;&gt;"",'Your debts'!$F$9&lt;'Your debts'!$F$13),W288,0)+IF(AND('Your debts'!$F$10&lt;&gt;"",'Your debts'!$F$13&lt;&gt;"",'Your debts'!$F$10&lt;'Your debts'!$F$13),AB288,0)+IF(AND('Your debts'!$F$11&lt;&gt;"",'Your debts'!$F$13&lt;&gt;"",'Your debts'!$F$11&lt;'Your debts'!$F$13),AG288,0)+IF(AND('Your debts'!$F$12&lt;&gt;"",'Your debts'!$F$13&lt;&gt;"",'Your debts'!$F$12&lt;'Your debts'!$F$13),AL288,0)+IF(AND('Your debts'!$F$14&lt;&gt;"",'Your debts'!$F$13&lt;&gt;"",'Your debts'!$F$14&lt;'Your debts'!$F$13),AV288,0)+IF(AND('Your debts'!$F$15&lt;&gt;"",'Your debts'!$F$13&lt;&gt;"",'Your debts'!$F$15&lt;'Your debts'!$F$13),BA288,0)))))</f>
        <v/>
      </c>
      <c r="AS288" s="33">
        <f>AQ288-AR288</f>
        <v/>
      </c>
      <c r="AT288" s="33">
        <f>IF(AX287&lt;=0,0,ROUND(AX287*(1+'Your debts'!$D$14/1200),2))</f>
        <v/>
      </c>
      <c r="AU288" s="33">
        <f>IF(AT288&lt;=0,0,MIN('Your debts'!$E$14,AT288))</f>
        <v/>
      </c>
      <c r="AV288" s="33">
        <f>AT288-AU288</f>
        <v/>
      </c>
      <c r="AW288" s="33">
        <f>IF('Your debts'!$F$14="",0,MIN(AV288,MAX(0,MAX(0,'Your debts'!$C$19-(G288+L288+Q288+V288+AA288+AF288+AK288+AP288+AU288+AZ288))-(IF(AND('Your debts'!$F$6&lt;&gt;"",'Your debts'!$F$14&lt;&gt;"",'Your debts'!$F$6&lt;'Your debts'!$F$14),H288,0)+IF(AND('Your debts'!$F$7&lt;&gt;"",'Your debts'!$F$14&lt;&gt;"",'Your debts'!$F$7&lt;'Your debts'!$F$14),M288,0)+IF(AND('Your debts'!$F$8&lt;&gt;"",'Your debts'!$F$14&lt;&gt;"",'Your debts'!$F$8&lt;'Your debts'!$F$14),R288,0)+IF(AND('Your debts'!$F$9&lt;&gt;"",'Your debts'!$F$14&lt;&gt;"",'Your debts'!$F$9&lt;'Your debts'!$F$14),W288,0)+IF(AND('Your debts'!$F$10&lt;&gt;"",'Your debts'!$F$14&lt;&gt;"",'Your debts'!$F$10&lt;'Your debts'!$F$14),AB288,0)+IF(AND('Your debts'!$F$11&lt;&gt;"",'Your debts'!$F$14&lt;&gt;"",'Your debts'!$F$11&lt;'Your debts'!$F$14),AG288,0)+IF(AND('Your debts'!$F$12&lt;&gt;"",'Your debts'!$F$14&lt;&gt;"",'Your debts'!$F$12&lt;'Your debts'!$F$14),AL288,0)+IF(AND('Your debts'!$F$13&lt;&gt;"",'Your debts'!$F$14&lt;&gt;"",'Your debts'!$F$13&lt;'Your debts'!$F$14),AQ288,0)+IF(AND('Your debts'!$F$15&lt;&gt;"",'Your debts'!$F$14&lt;&gt;"",'Your debts'!$F$15&lt;'Your debts'!$F$14),BA288,0)))))</f>
        <v/>
      </c>
      <c r="AX288" s="33">
        <f>AV288-AW288</f>
        <v/>
      </c>
      <c r="AY288" s="33">
        <f>IF(BC287&lt;=0,0,ROUND(BC287*(1+'Your debts'!$D$15/1200),2))</f>
        <v/>
      </c>
      <c r="AZ288" s="33">
        <f>IF(AY288&lt;=0,0,MIN('Your debts'!$E$15,AY288))</f>
        <v/>
      </c>
      <c r="BA288" s="33">
        <f>AY288-AZ288</f>
        <v/>
      </c>
      <c r="BB288" s="33">
        <f>IF('Your debts'!$F$15="",0,MIN(BA288,MAX(0,MAX(0,'Your debts'!$C$19-(G288+L288+Q288+V288+AA288+AF288+AK288+AP288+AU288+AZ288))-(IF(AND('Your debts'!$F$6&lt;&gt;"",'Your debts'!$F$15&lt;&gt;"",'Your debts'!$F$6&lt;'Your debts'!$F$15),H288,0)+IF(AND('Your debts'!$F$7&lt;&gt;"",'Your debts'!$F$15&lt;&gt;"",'Your debts'!$F$7&lt;'Your debts'!$F$15),M288,0)+IF(AND('Your debts'!$F$8&lt;&gt;"",'Your debts'!$F$15&lt;&gt;"",'Your debts'!$F$8&lt;'Your debts'!$F$15),R288,0)+IF(AND('Your debts'!$F$9&lt;&gt;"",'Your debts'!$F$15&lt;&gt;"",'Your debts'!$F$9&lt;'Your debts'!$F$15),W288,0)+IF(AND('Your debts'!$F$10&lt;&gt;"",'Your debts'!$F$15&lt;&gt;"",'Your debts'!$F$10&lt;'Your debts'!$F$15),AB288,0)+IF(AND('Your debts'!$F$11&lt;&gt;"",'Your debts'!$F$15&lt;&gt;"",'Your debts'!$F$11&lt;'Your debts'!$F$15),AG288,0)+IF(AND('Your debts'!$F$12&lt;&gt;"",'Your debts'!$F$15&lt;&gt;"",'Your debts'!$F$12&lt;'Your debts'!$F$15),AL288,0)+IF(AND('Your debts'!$F$13&lt;&gt;"",'Your debts'!$F$15&lt;&gt;"",'Your debts'!$F$13&lt;'Your debts'!$F$15),AQ288,0)+IF(AND('Your debts'!$F$14&lt;&gt;"",'Your debts'!$F$15&lt;&gt;"",'Your debts'!$F$14&lt;'Your debts'!$F$15),AV288,0)))))</f>
        <v/>
      </c>
      <c r="BC288" s="33">
        <f>BA288-BB288</f>
        <v/>
      </c>
    </row>
    <row r="289">
      <c r="A289" s="30" t="n">
        <v>274</v>
      </c>
      <c r="B289" s="31">
        <f>EDATE($B$15,274)</f>
        <v/>
      </c>
      <c r="C289" s="32">
        <f>IF(J288&lt;=0,0,F289-J288)+IF(O288&lt;=0,0,K289-O288)+IF(T288&lt;=0,0,P289-T288)+IF(Y288&lt;=0,0,U289-Y288)+IF(AD288&lt;=0,0,Z289-AD288)+IF(AI288&lt;=0,0,AE289-AI288)+IF(AN288&lt;=0,0,AJ289-AN288)+IF(AS288&lt;=0,0,AO289-AS288)+IF(AX288&lt;=0,0,AT289-AX288)+IF(BC288&lt;=0,0,AY289-BC288)</f>
        <v/>
      </c>
      <c r="D289" s="32">
        <f>G289+I289+L289+N289+Q289+S289+V289+X289+AA289+AC289+AF289+AH289+AK289+AM289+AP289+AR289+AU289+AW289+AZ289+BB289</f>
        <v/>
      </c>
      <c r="E289" s="32">
        <f>J289+O289+T289+Y289+AD289+AI289+AN289+AS289+AX289+BC289</f>
        <v/>
      </c>
      <c r="F289" s="33">
        <f>IF(J288&lt;=0,0,ROUND(J288*(1+'Your debts'!$D$6/1200),2))</f>
        <v/>
      </c>
      <c r="G289" s="33">
        <f>IF(F289&lt;=0,0,MIN('Your debts'!$E$6,F289))</f>
        <v/>
      </c>
      <c r="H289" s="33">
        <f>F289-G289</f>
        <v/>
      </c>
      <c r="I289" s="33">
        <f>IF('Your debts'!$F$6="",0,MIN(H289,MAX(0,MAX(0,'Your debts'!$C$19-(G289+L289+Q289+V289+AA289+AF289+AK289+AP289+AU289+AZ289))-(IF(AND('Your debts'!$F$7&lt;&gt;"",'Your debts'!$F$6&lt;&gt;"",'Your debts'!$F$7&lt;'Your debts'!$F$6),M289,0)+IF(AND('Your debts'!$F$8&lt;&gt;"",'Your debts'!$F$6&lt;&gt;"",'Your debts'!$F$8&lt;'Your debts'!$F$6),R289,0)+IF(AND('Your debts'!$F$9&lt;&gt;"",'Your debts'!$F$6&lt;&gt;"",'Your debts'!$F$9&lt;'Your debts'!$F$6),W289,0)+IF(AND('Your debts'!$F$10&lt;&gt;"",'Your debts'!$F$6&lt;&gt;"",'Your debts'!$F$10&lt;'Your debts'!$F$6),AB289,0)+IF(AND('Your debts'!$F$11&lt;&gt;"",'Your debts'!$F$6&lt;&gt;"",'Your debts'!$F$11&lt;'Your debts'!$F$6),AG289,0)+IF(AND('Your debts'!$F$12&lt;&gt;"",'Your debts'!$F$6&lt;&gt;"",'Your debts'!$F$12&lt;'Your debts'!$F$6),AL289,0)+IF(AND('Your debts'!$F$13&lt;&gt;"",'Your debts'!$F$6&lt;&gt;"",'Your debts'!$F$13&lt;'Your debts'!$F$6),AQ289,0)+IF(AND('Your debts'!$F$14&lt;&gt;"",'Your debts'!$F$6&lt;&gt;"",'Your debts'!$F$14&lt;'Your debts'!$F$6),AV289,0)+IF(AND('Your debts'!$F$15&lt;&gt;"",'Your debts'!$F$6&lt;&gt;"",'Your debts'!$F$15&lt;'Your debts'!$F$6),BA289,0)))))</f>
        <v/>
      </c>
      <c r="J289" s="33">
        <f>H289-I289</f>
        <v/>
      </c>
      <c r="K289" s="33">
        <f>IF(O288&lt;=0,0,ROUND(O288*(1+'Your debts'!$D$7/1200),2))</f>
        <v/>
      </c>
      <c r="L289" s="33">
        <f>IF(K289&lt;=0,0,MIN('Your debts'!$E$7,K289))</f>
        <v/>
      </c>
      <c r="M289" s="33">
        <f>K289-L289</f>
        <v/>
      </c>
      <c r="N289" s="33">
        <f>IF('Your debts'!$F$7="",0,MIN(M289,MAX(0,MAX(0,'Your debts'!$C$19-(G289+L289+Q289+V289+AA289+AF289+AK289+AP289+AU289+AZ289))-(IF(AND('Your debts'!$F$6&lt;&gt;"",'Your debts'!$F$7&lt;&gt;"",'Your debts'!$F$6&lt;'Your debts'!$F$7),H289,0)+IF(AND('Your debts'!$F$8&lt;&gt;"",'Your debts'!$F$7&lt;&gt;"",'Your debts'!$F$8&lt;'Your debts'!$F$7),R289,0)+IF(AND('Your debts'!$F$9&lt;&gt;"",'Your debts'!$F$7&lt;&gt;"",'Your debts'!$F$9&lt;'Your debts'!$F$7),W289,0)+IF(AND('Your debts'!$F$10&lt;&gt;"",'Your debts'!$F$7&lt;&gt;"",'Your debts'!$F$10&lt;'Your debts'!$F$7),AB289,0)+IF(AND('Your debts'!$F$11&lt;&gt;"",'Your debts'!$F$7&lt;&gt;"",'Your debts'!$F$11&lt;'Your debts'!$F$7),AG289,0)+IF(AND('Your debts'!$F$12&lt;&gt;"",'Your debts'!$F$7&lt;&gt;"",'Your debts'!$F$12&lt;'Your debts'!$F$7),AL289,0)+IF(AND('Your debts'!$F$13&lt;&gt;"",'Your debts'!$F$7&lt;&gt;"",'Your debts'!$F$13&lt;'Your debts'!$F$7),AQ289,0)+IF(AND('Your debts'!$F$14&lt;&gt;"",'Your debts'!$F$7&lt;&gt;"",'Your debts'!$F$14&lt;'Your debts'!$F$7),AV289,0)+IF(AND('Your debts'!$F$15&lt;&gt;"",'Your debts'!$F$7&lt;&gt;"",'Your debts'!$F$15&lt;'Your debts'!$F$7),BA289,0)))))</f>
        <v/>
      </c>
      <c r="O289" s="33">
        <f>M289-N289</f>
        <v/>
      </c>
      <c r="P289" s="33">
        <f>IF(T288&lt;=0,0,ROUND(T288*(1+'Your debts'!$D$8/1200),2))</f>
        <v/>
      </c>
      <c r="Q289" s="33">
        <f>IF(P289&lt;=0,0,MIN('Your debts'!$E$8,P289))</f>
        <v/>
      </c>
      <c r="R289" s="33">
        <f>P289-Q289</f>
        <v/>
      </c>
      <c r="S289" s="33">
        <f>IF('Your debts'!$F$8="",0,MIN(R289,MAX(0,MAX(0,'Your debts'!$C$19-(G289+L289+Q289+V289+AA289+AF289+AK289+AP289+AU289+AZ289))-(IF(AND('Your debts'!$F$6&lt;&gt;"",'Your debts'!$F$8&lt;&gt;"",'Your debts'!$F$6&lt;'Your debts'!$F$8),H289,0)+IF(AND('Your debts'!$F$7&lt;&gt;"",'Your debts'!$F$8&lt;&gt;"",'Your debts'!$F$7&lt;'Your debts'!$F$8),M289,0)+IF(AND('Your debts'!$F$9&lt;&gt;"",'Your debts'!$F$8&lt;&gt;"",'Your debts'!$F$9&lt;'Your debts'!$F$8),W289,0)+IF(AND('Your debts'!$F$10&lt;&gt;"",'Your debts'!$F$8&lt;&gt;"",'Your debts'!$F$10&lt;'Your debts'!$F$8),AB289,0)+IF(AND('Your debts'!$F$11&lt;&gt;"",'Your debts'!$F$8&lt;&gt;"",'Your debts'!$F$11&lt;'Your debts'!$F$8),AG289,0)+IF(AND('Your debts'!$F$12&lt;&gt;"",'Your debts'!$F$8&lt;&gt;"",'Your debts'!$F$12&lt;'Your debts'!$F$8),AL289,0)+IF(AND('Your debts'!$F$13&lt;&gt;"",'Your debts'!$F$8&lt;&gt;"",'Your debts'!$F$13&lt;'Your debts'!$F$8),AQ289,0)+IF(AND('Your debts'!$F$14&lt;&gt;"",'Your debts'!$F$8&lt;&gt;"",'Your debts'!$F$14&lt;'Your debts'!$F$8),AV289,0)+IF(AND('Your debts'!$F$15&lt;&gt;"",'Your debts'!$F$8&lt;&gt;"",'Your debts'!$F$15&lt;'Your debts'!$F$8),BA289,0)))))</f>
        <v/>
      </c>
      <c r="T289" s="33">
        <f>R289-S289</f>
        <v/>
      </c>
      <c r="U289" s="33">
        <f>IF(Y288&lt;=0,0,ROUND(Y288*(1+'Your debts'!$D$9/1200),2))</f>
        <v/>
      </c>
      <c r="V289" s="33">
        <f>IF(U289&lt;=0,0,MIN('Your debts'!$E$9,U289))</f>
        <v/>
      </c>
      <c r="W289" s="33">
        <f>U289-V289</f>
        <v/>
      </c>
      <c r="X289" s="33">
        <f>IF('Your debts'!$F$9="",0,MIN(W289,MAX(0,MAX(0,'Your debts'!$C$19-(G289+L289+Q289+V289+AA289+AF289+AK289+AP289+AU289+AZ289))-(IF(AND('Your debts'!$F$6&lt;&gt;"",'Your debts'!$F$9&lt;&gt;"",'Your debts'!$F$6&lt;'Your debts'!$F$9),H289,0)+IF(AND('Your debts'!$F$7&lt;&gt;"",'Your debts'!$F$9&lt;&gt;"",'Your debts'!$F$7&lt;'Your debts'!$F$9),M289,0)+IF(AND('Your debts'!$F$8&lt;&gt;"",'Your debts'!$F$9&lt;&gt;"",'Your debts'!$F$8&lt;'Your debts'!$F$9),R289,0)+IF(AND('Your debts'!$F$10&lt;&gt;"",'Your debts'!$F$9&lt;&gt;"",'Your debts'!$F$10&lt;'Your debts'!$F$9),AB289,0)+IF(AND('Your debts'!$F$11&lt;&gt;"",'Your debts'!$F$9&lt;&gt;"",'Your debts'!$F$11&lt;'Your debts'!$F$9),AG289,0)+IF(AND('Your debts'!$F$12&lt;&gt;"",'Your debts'!$F$9&lt;&gt;"",'Your debts'!$F$12&lt;'Your debts'!$F$9),AL289,0)+IF(AND('Your debts'!$F$13&lt;&gt;"",'Your debts'!$F$9&lt;&gt;"",'Your debts'!$F$13&lt;'Your debts'!$F$9),AQ289,0)+IF(AND('Your debts'!$F$14&lt;&gt;"",'Your debts'!$F$9&lt;&gt;"",'Your debts'!$F$14&lt;'Your debts'!$F$9),AV289,0)+IF(AND('Your debts'!$F$15&lt;&gt;"",'Your debts'!$F$9&lt;&gt;"",'Your debts'!$F$15&lt;'Your debts'!$F$9),BA289,0)))))</f>
        <v/>
      </c>
      <c r="Y289" s="33">
        <f>W289-X289</f>
        <v/>
      </c>
      <c r="Z289" s="33">
        <f>IF(AD288&lt;=0,0,ROUND(AD288*(1+'Your debts'!$D$10/1200),2))</f>
        <v/>
      </c>
      <c r="AA289" s="33">
        <f>IF(Z289&lt;=0,0,MIN('Your debts'!$E$10,Z289))</f>
        <v/>
      </c>
      <c r="AB289" s="33">
        <f>Z289-AA289</f>
        <v/>
      </c>
      <c r="AC289" s="33">
        <f>IF('Your debts'!$F$10="",0,MIN(AB289,MAX(0,MAX(0,'Your debts'!$C$19-(G289+L289+Q289+V289+AA289+AF289+AK289+AP289+AU289+AZ289))-(IF(AND('Your debts'!$F$6&lt;&gt;"",'Your debts'!$F$10&lt;&gt;"",'Your debts'!$F$6&lt;'Your debts'!$F$10),H289,0)+IF(AND('Your debts'!$F$7&lt;&gt;"",'Your debts'!$F$10&lt;&gt;"",'Your debts'!$F$7&lt;'Your debts'!$F$10),M289,0)+IF(AND('Your debts'!$F$8&lt;&gt;"",'Your debts'!$F$10&lt;&gt;"",'Your debts'!$F$8&lt;'Your debts'!$F$10),R289,0)+IF(AND('Your debts'!$F$9&lt;&gt;"",'Your debts'!$F$10&lt;&gt;"",'Your debts'!$F$9&lt;'Your debts'!$F$10),W289,0)+IF(AND('Your debts'!$F$11&lt;&gt;"",'Your debts'!$F$10&lt;&gt;"",'Your debts'!$F$11&lt;'Your debts'!$F$10),AG289,0)+IF(AND('Your debts'!$F$12&lt;&gt;"",'Your debts'!$F$10&lt;&gt;"",'Your debts'!$F$12&lt;'Your debts'!$F$10),AL289,0)+IF(AND('Your debts'!$F$13&lt;&gt;"",'Your debts'!$F$10&lt;&gt;"",'Your debts'!$F$13&lt;'Your debts'!$F$10),AQ289,0)+IF(AND('Your debts'!$F$14&lt;&gt;"",'Your debts'!$F$10&lt;&gt;"",'Your debts'!$F$14&lt;'Your debts'!$F$10),AV289,0)+IF(AND('Your debts'!$F$15&lt;&gt;"",'Your debts'!$F$10&lt;&gt;"",'Your debts'!$F$15&lt;'Your debts'!$F$10),BA289,0)))))</f>
        <v/>
      </c>
      <c r="AD289" s="33">
        <f>AB289-AC289</f>
        <v/>
      </c>
      <c r="AE289" s="33">
        <f>IF(AI288&lt;=0,0,ROUND(AI288*(1+'Your debts'!$D$11/1200),2))</f>
        <v/>
      </c>
      <c r="AF289" s="33">
        <f>IF(AE289&lt;=0,0,MIN('Your debts'!$E$11,AE289))</f>
        <v/>
      </c>
      <c r="AG289" s="33">
        <f>AE289-AF289</f>
        <v/>
      </c>
      <c r="AH289" s="33">
        <f>IF('Your debts'!$F$11="",0,MIN(AG289,MAX(0,MAX(0,'Your debts'!$C$19-(G289+L289+Q289+V289+AA289+AF289+AK289+AP289+AU289+AZ289))-(IF(AND('Your debts'!$F$6&lt;&gt;"",'Your debts'!$F$11&lt;&gt;"",'Your debts'!$F$6&lt;'Your debts'!$F$11),H289,0)+IF(AND('Your debts'!$F$7&lt;&gt;"",'Your debts'!$F$11&lt;&gt;"",'Your debts'!$F$7&lt;'Your debts'!$F$11),M289,0)+IF(AND('Your debts'!$F$8&lt;&gt;"",'Your debts'!$F$11&lt;&gt;"",'Your debts'!$F$8&lt;'Your debts'!$F$11),R289,0)+IF(AND('Your debts'!$F$9&lt;&gt;"",'Your debts'!$F$11&lt;&gt;"",'Your debts'!$F$9&lt;'Your debts'!$F$11),W289,0)+IF(AND('Your debts'!$F$10&lt;&gt;"",'Your debts'!$F$11&lt;&gt;"",'Your debts'!$F$10&lt;'Your debts'!$F$11),AB289,0)+IF(AND('Your debts'!$F$12&lt;&gt;"",'Your debts'!$F$11&lt;&gt;"",'Your debts'!$F$12&lt;'Your debts'!$F$11),AL289,0)+IF(AND('Your debts'!$F$13&lt;&gt;"",'Your debts'!$F$11&lt;&gt;"",'Your debts'!$F$13&lt;'Your debts'!$F$11),AQ289,0)+IF(AND('Your debts'!$F$14&lt;&gt;"",'Your debts'!$F$11&lt;&gt;"",'Your debts'!$F$14&lt;'Your debts'!$F$11),AV289,0)+IF(AND('Your debts'!$F$15&lt;&gt;"",'Your debts'!$F$11&lt;&gt;"",'Your debts'!$F$15&lt;'Your debts'!$F$11),BA289,0)))))</f>
        <v/>
      </c>
      <c r="AI289" s="33">
        <f>AG289-AH289</f>
        <v/>
      </c>
      <c r="AJ289" s="33">
        <f>IF(AN288&lt;=0,0,ROUND(AN288*(1+'Your debts'!$D$12/1200),2))</f>
        <v/>
      </c>
      <c r="AK289" s="33">
        <f>IF(AJ289&lt;=0,0,MIN('Your debts'!$E$12,AJ289))</f>
        <v/>
      </c>
      <c r="AL289" s="33">
        <f>AJ289-AK289</f>
        <v/>
      </c>
      <c r="AM289" s="33">
        <f>IF('Your debts'!$F$12="",0,MIN(AL289,MAX(0,MAX(0,'Your debts'!$C$19-(G289+L289+Q289+V289+AA289+AF289+AK289+AP289+AU289+AZ289))-(IF(AND('Your debts'!$F$6&lt;&gt;"",'Your debts'!$F$12&lt;&gt;"",'Your debts'!$F$6&lt;'Your debts'!$F$12),H289,0)+IF(AND('Your debts'!$F$7&lt;&gt;"",'Your debts'!$F$12&lt;&gt;"",'Your debts'!$F$7&lt;'Your debts'!$F$12),M289,0)+IF(AND('Your debts'!$F$8&lt;&gt;"",'Your debts'!$F$12&lt;&gt;"",'Your debts'!$F$8&lt;'Your debts'!$F$12),R289,0)+IF(AND('Your debts'!$F$9&lt;&gt;"",'Your debts'!$F$12&lt;&gt;"",'Your debts'!$F$9&lt;'Your debts'!$F$12),W289,0)+IF(AND('Your debts'!$F$10&lt;&gt;"",'Your debts'!$F$12&lt;&gt;"",'Your debts'!$F$10&lt;'Your debts'!$F$12),AB289,0)+IF(AND('Your debts'!$F$11&lt;&gt;"",'Your debts'!$F$12&lt;&gt;"",'Your debts'!$F$11&lt;'Your debts'!$F$12),AG289,0)+IF(AND('Your debts'!$F$13&lt;&gt;"",'Your debts'!$F$12&lt;&gt;"",'Your debts'!$F$13&lt;'Your debts'!$F$12),AQ289,0)+IF(AND('Your debts'!$F$14&lt;&gt;"",'Your debts'!$F$12&lt;&gt;"",'Your debts'!$F$14&lt;'Your debts'!$F$12),AV289,0)+IF(AND('Your debts'!$F$15&lt;&gt;"",'Your debts'!$F$12&lt;&gt;"",'Your debts'!$F$15&lt;'Your debts'!$F$12),BA289,0)))))</f>
        <v/>
      </c>
      <c r="AN289" s="33">
        <f>AL289-AM289</f>
        <v/>
      </c>
      <c r="AO289" s="33">
        <f>IF(AS288&lt;=0,0,ROUND(AS288*(1+'Your debts'!$D$13/1200),2))</f>
        <v/>
      </c>
      <c r="AP289" s="33">
        <f>IF(AO289&lt;=0,0,MIN('Your debts'!$E$13,AO289))</f>
        <v/>
      </c>
      <c r="AQ289" s="33">
        <f>AO289-AP289</f>
        <v/>
      </c>
      <c r="AR289" s="33">
        <f>IF('Your debts'!$F$13="",0,MIN(AQ289,MAX(0,MAX(0,'Your debts'!$C$19-(G289+L289+Q289+V289+AA289+AF289+AK289+AP289+AU289+AZ289))-(IF(AND('Your debts'!$F$6&lt;&gt;"",'Your debts'!$F$13&lt;&gt;"",'Your debts'!$F$6&lt;'Your debts'!$F$13),H289,0)+IF(AND('Your debts'!$F$7&lt;&gt;"",'Your debts'!$F$13&lt;&gt;"",'Your debts'!$F$7&lt;'Your debts'!$F$13),M289,0)+IF(AND('Your debts'!$F$8&lt;&gt;"",'Your debts'!$F$13&lt;&gt;"",'Your debts'!$F$8&lt;'Your debts'!$F$13),R289,0)+IF(AND('Your debts'!$F$9&lt;&gt;"",'Your debts'!$F$13&lt;&gt;"",'Your debts'!$F$9&lt;'Your debts'!$F$13),W289,0)+IF(AND('Your debts'!$F$10&lt;&gt;"",'Your debts'!$F$13&lt;&gt;"",'Your debts'!$F$10&lt;'Your debts'!$F$13),AB289,0)+IF(AND('Your debts'!$F$11&lt;&gt;"",'Your debts'!$F$13&lt;&gt;"",'Your debts'!$F$11&lt;'Your debts'!$F$13),AG289,0)+IF(AND('Your debts'!$F$12&lt;&gt;"",'Your debts'!$F$13&lt;&gt;"",'Your debts'!$F$12&lt;'Your debts'!$F$13),AL289,0)+IF(AND('Your debts'!$F$14&lt;&gt;"",'Your debts'!$F$13&lt;&gt;"",'Your debts'!$F$14&lt;'Your debts'!$F$13),AV289,0)+IF(AND('Your debts'!$F$15&lt;&gt;"",'Your debts'!$F$13&lt;&gt;"",'Your debts'!$F$15&lt;'Your debts'!$F$13),BA289,0)))))</f>
        <v/>
      </c>
      <c r="AS289" s="33">
        <f>AQ289-AR289</f>
        <v/>
      </c>
      <c r="AT289" s="33">
        <f>IF(AX288&lt;=0,0,ROUND(AX288*(1+'Your debts'!$D$14/1200),2))</f>
        <v/>
      </c>
      <c r="AU289" s="33">
        <f>IF(AT289&lt;=0,0,MIN('Your debts'!$E$14,AT289))</f>
        <v/>
      </c>
      <c r="AV289" s="33">
        <f>AT289-AU289</f>
        <v/>
      </c>
      <c r="AW289" s="33">
        <f>IF('Your debts'!$F$14="",0,MIN(AV289,MAX(0,MAX(0,'Your debts'!$C$19-(G289+L289+Q289+V289+AA289+AF289+AK289+AP289+AU289+AZ289))-(IF(AND('Your debts'!$F$6&lt;&gt;"",'Your debts'!$F$14&lt;&gt;"",'Your debts'!$F$6&lt;'Your debts'!$F$14),H289,0)+IF(AND('Your debts'!$F$7&lt;&gt;"",'Your debts'!$F$14&lt;&gt;"",'Your debts'!$F$7&lt;'Your debts'!$F$14),M289,0)+IF(AND('Your debts'!$F$8&lt;&gt;"",'Your debts'!$F$14&lt;&gt;"",'Your debts'!$F$8&lt;'Your debts'!$F$14),R289,0)+IF(AND('Your debts'!$F$9&lt;&gt;"",'Your debts'!$F$14&lt;&gt;"",'Your debts'!$F$9&lt;'Your debts'!$F$14),W289,0)+IF(AND('Your debts'!$F$10&lt;&gt;"",'Your debts'!$F$14&lt;&gt;"",'Your debts'!$F$10&lt;'Your debts'!$F$14),AB289,0)+IF(AND('Your debts'!$F$11&lt;&gt;"",'Your debts'!$F$14&lt;&gt;"",'Your debts'!$F$11&lt;'Your debts'!$F$14),AG289,0)+IF(AND('Your debts'!$F$12&lt;&gt;"",'Your debts'!$F$14&lt;&gt;"",'Your debts'!$F$12&lt;'Your debts'!$F$14),AL289,0)+IF(AND('Your debts'!$F$13&lt;&gt;"",'Your debts'!$F$14&lt;&gt;"",'Your debts'!$F$13&lt;'Your debts'!$F$14),AQ289,0)+IF(AND('Your debts'!$F$15&lt;&gt;"",'Your debts'!$F$14&lt;&gt;"",'Your debts'!$F$15&lt;'Your debts'!$F$14),BA289,0)))))</f>
        <v/>
      </c>
      <c r="AX289" s="33">
        <f>AV289-AW289</f>
        <v/>
      </c>
      <c r="AY289" s="33">
        <f>IF(BC288&lt;=0,0,ROUND(BC288*(1+'Your debts'!$D$15/1200),2))</f>
        <v/>
      </c>
      <c r="AZ289" s="33">
        <f>IF(AY289&lt;=0,0,MIN('Your debts'!$E$15,AY289))</f>
        <v/>
      </c>
      <c r="BA289" s="33">
        <f>AY289-AZ289</f>
        <v/>
      </c>
      <c r="BB289" s="33">
        <f>IF('Your debts'!$F$15="",0,MIN(BA289,MAX(0,MAX(0,'Your debts'!$C$19-(G289+L289+Q289+V289+AA289+AF289+AK289+AP289+AU289+AZ289))-(IF(AND('Your debts'!$F$6&lt;&gt;"",'Your debts'!$F$15&lt;&gt;"",'Your debts'!$F$6&lt;'Your debts'!$F$15),H289,0)+IF(AND('Your debts'!$F$7&lt;&gt;"",'Your debts'!$F$15&lt;&gt;"",'Your debts'!$F$7&lt;'Your debts'!$F$15),M289,0)+IF(AND('Your debts'!$F$8&lt;&gt;"",'Your debts'!$F$15&lt;&gt;"",'Your debts'!$F$8&lt;'Your debts'!$F$15),R289,0)+IF(AND('Your debts'!$F$9&lt;&gt;"",'Your debts'!$F$15&lt;&gt;"",'Your debts'!$F$9&lt;'Your debts'!$F$15),W289,0)+IF(AND('Your debts'!$F$10&lt;&gt;"",'Your debts'!$F$15&lt;&gt;"",'Your debts'!$F$10&lt;'Your debts'!$F$15),AB289,0)+IF(AND('Your debts'!$F$11&lt;&gt;"",'Your debts'!$F$15&lt;&gt;"",'Your debts'!$F$11&lt;'Your debts'!$F$15),AG289,0)+IF(AND('Your debts'!$F$12&lt;&gt;"",'Your debts'!$F$15&lt;&gt;"",'Your debts'!$F$12&lt;'Your debts'!$F$15),AL289,0)+IF(AND('Your debts'!$F$13&lt;&gt;"",'Your debts'!$F$15&lt;&gt;"",'Your debts'!$F$13&lt;'Your debts'!$F$15),AQ289,0)+IF(AND('Your debts'!$F$14&lt;&gt;"",'Your debts'!$F$15&lt;&gt;"",'Your debts'!$F$14&lt;'Your debts'!$F$15),AV289,0)))))</f>
        <v/>
      </c>
      <c r="BC289" s="33">
        <f>BA289-BB289</f>
        <v/>
      </c>
    </row>
    <row r="290">
      <c r="A290" s="30" t="n">
        <v>275</v>
      </c>
      <c r="B290" s="31">
        <f>EDATE($B$15,275)</f>
        <v/>
      </c>
      <c r="C290" s="32">
        <f>IF(J289&lt;=0,0,F290-J289)+IF(O289&lt;=0,0,K290-O289)+IF(T289&lt;=0,0,P290-T289)+IF(Y289&lt;=0,0,U290-Y289)+IF(AD289&lt;=0,0,Z290-AD289)+IF(AI289&lt;=0,0,AE290-AI289)+IF(AN289&lt;=0,0,AJ290-AN289)+IF(AS289&lt;=0,0,AO290-AS289)+IF(AX289&lt;=0,0,AT290-AX289)+IF(BC289&lt;=0,0,AY290-BC289)</f>
        <v/>
      </c>
      <c r="D290" s="32">
        <f>G290+I290+L290+N290+Q290+S290+V290+X290+AA290+AC290+AF290+AH290+AK290+AM290+AP290+AR290+AU290+AW290+AZ290+BB290</f>
        <v/>
      </c>
      <c r="E290" s="32">
        <f>J290+O290+T290+Y290+AD290+AI290+AN290+AS290+AX290+BC290</f>
        <v/>
      </c>
      <c r="F290" s="33">
        <f>IF(J289&lt;=0,0,ROUND(J289*(1+'Your debts'!$D$6/1200),2))</f>
        <v/>
      </c>
      <c r="G290" s="33">
        <f>IF(F290&lt;=0,0,MIN('Your debts'!$E$6,F290))</f>
        <v/>
      </c>
      <c r="H290" s="33">
        <f>F290-G290</f>
        <v/>
      </c>
      <c r="I290" s="33">
        <f>IF('Your debts'!$F$6="",0,MIN(H290,MAX(0,MAX(0,'Your debts'!$C$19-(G290+L290+Q290+V290+AA290+AF290+AK290+AP290+AU290+AZ290))-(IF(AND('Your debts'!$F$7&lt;&gt;"",'Your debts'!$F$6&lt;&gt;"",'Your debts'!$F$7&lt;'Your debts'!$F$6),M290,0)+IF(AND('Your debts'!$F$8&lt;&gt;"",'Your debts'!$F$6&lt;&gt;"",'Your debts'!$F$8&lt;'Your debts'!$F$6),R290,0)+IF(AND('Your debts'!$F$9&lt;&gt;"",'Your debts'!$F$6&lt;&gt;"",'Your debts'!$F$9&lt;'Your debts'!$F$6),W290,0)+IF(AND('Your debts'!$F$10&lt;&gt;"",'Your debts'!$F$6&lt;&gt;"",'Your debts'!$F$10&lt;'Your debts'!$F$6),AB290,0)+IF(AND('Your debts'!$F$11&lt;&gt;"",'Your debts'!$F$6&lt;&gt;"",'Your debts'!$F$11&lt;'Your debts'!$F$6),AG290,0)+IF(AND('Your debts'!$F$12&lt;&gt;"",'Your debts'!$F$6&lt;&gt;"",'Your debts'!$F$12&lt;'Your debts'!$F$6),AL290,0)+IF(AND('Your debts'!$F$13&lt;&gt;"",'Your debts'!$F$6&lt;&gt;"",'Your debts'!$F$13&lt;'Your debts'!$F$6),AQ290,0)+IF(AND('Your debts'!$F$14&lt;&gt;"",'Your debts'!$F$6&lt;&gt;"",'Your debts'!$F$14&lt;'Your debts'!$F$6),AV290,0)+IF(AND('Your debts'!$F$15&lt;&gt;"",'Your debts'!$F$6&lt;&gt;"",'Your debts'!$F$15&lt;'Your debts'!$F$6),BA290,0)))))</f>
        <v/>
      </c>
      <c r="J290" s="33">
        <f>H290-I290</f>
        <v/>
      </c>
      <c r="K290" s="33">
        <f>IF(O289&lt;=0,0,ROUND(O289*(1+'Your debts'!$D$7/1200),2))</f>
        <v/>
      </c>
      <c r="L290" s="33">
        <f>IF(K290&lt;=0,0,MIN('Your debts'!$E$7,K290))</f>
        <v/>
      </c>
      <c r="M290" s="33">
        <f>K290-L290</f>
        <v/>
      </c>
      <c r="N290" s="33">
        <f>IF('Your debts'!$F$7="",0,MIN(M290,MAX(0,MAX(0,'Your debts'!$C$19-(G290+L290+Q290+V290+AA290+AF290+AK290+AP290+AU290+AZ290))-(IF(AND('Your debts'!$F$6&lt;&gt;"",'Your debts'!$F$7&lt;&gt;"",'Your debts'!$F$6&lt;'Your debts'!$F$7),H290,0)+IF(AND('Your debts'!$F$8&lt;&gt;"",'Your debts'!$F$7&lt;&gt;"",'Your debts'!$F$8&lt;'Your debts'!$F$7),R290,0)+IF(AND('Your debts'!$F$9&lt;&gt;"",'Your debts'!$F$7&lt;&gt;"",'Your debts'!$F$9&lt;'Your debts'!$F$7),W290,0)+IF(AND('Your debts'!$F$10&lt;&gt;"",'Your debts'!$F$7&lt;&gt;"",'Your debts'!$F$10&lt;'Your debts'!$F$7),AB290,0)+IF(AND('Your debts'!$F$11&lt;&gt;"",'Your debts'!$F$7&lt;&gt;"",'Your debts'!$F$11&lt;'Your debts'!$F$7),AG290,0)+IF(AND('Your debts'!$F$12&lt;&gt;"",'Your debts'!$F$7&lt;&gt;"",'Your debts'!$F$12&lt;'Your debts'!$F$7),AL290,0)+IF(AND('Your debts'!$F$13&lt;&gt;"",'Your debts'!$F$7&lt;&gt;"",'Your debts'!$F$13&lt;'Your debts'!$F$7),AQ290,0)+IF(AND('Your debts'!$F$14&lt;&gt;"",'Your debts'!$F$7&lt;&gt;"",'Your debts'!$F$14&lt;'Your debts'!$F$7),AV290,0)+IF(AND('Your debts'!$F$15&lt;&gt;"",'Your debts'!$F$7&lt;&gt;"",'Your debts'!$F$15&lt;'Your debts'!$F$7),BA290,0)))))</f>
        <v/>
      </c>
      <c r="O290" s="33">
        <f>M290-N290</f>
        <v/>
      </c>
      <c r="P290" s="33">
        <f>IF(T289&lt;=0,0,ROUND(T289*(1+'Your debts'!$D$8/1200),2))</f>
        <v/>
      </c>
      <c r="Q290" s="33">
        <f>IF(P290&lt;=0,0,MIN('Your debts'!$E$8,P290))</f>
        <v/>
      </c>
      <c r="R290" s="33">
        <f>P290-Q290</f>
        <v/>
      </c>
      <c r="S290" s="33">
        <f>IF('Your debts'!$F$8="",0,MIN(R290,MAX(0,MAX(0,'Your debts'!$C$19-(G290+L290+Q290+V290+AA290+AF290+AK290+AP290+AU290+AZ290))-(IF(AND('Your debts'!$F$6&lt;&gt;"",'Your debts'!$F$8&lt;&gt;"",'Your debts'!$F$6&lt;'Your debts'!$F$8),H290,0)+IF(AND('Your debts'!$F$7&lt;&gt;"",'Your debts'!$F$8&lt;&gt;"",'Your debts'!$F$7&lt;'Your debts'!$F$8),M290,0)+IF(AND('Your debts'!$F$9&lt;&gt;"",'Your debts'!$F$8&lt;&gt;"",'Your debts'!$F$9&lt;'Your debts'!$F$8),W290,0)+IF(AND('Your debts'!$F$10&lt;&gt;"",'Your debts'!$F$8&lt;&gt;"",'Your debts'!$F$10&lt;'Your debts'!$F$8),AB290,0)+IF(AND('Your debts'!$F$11&lt;&gt;"",'Your debts'!$F$8&lt;&gt;"",'Your debts'!$F$11&lt;'Your debts'!$F$8),AG290,0)+IF(AND('Your debts'!$F$12&lt;&gt;"",'Your debts'!$F$8&lt;&gt;"",'Your debts'!$F$12&lt;'Your debts'!$F$8),AL290,0)+IF(AND('Your debts'!$F$13&lt;&gt;"",'Your debts'!$F$8&lt;&gt;"",'Your debts'!$F$13&lt;'Your debts'!$F$8),AQ290,0)+IF(AND('Your debts'!$F$14&lt;&gt;"",'Your debts'!$F$8&lt;&gt;"",'Your debts'!$F$14&lt;'Your debts'!$F$8),AV290,0)+IF(AND('Your debts'!$F$15&lt;&gt;"",'Your debts'!$F$8&lt;&gt;"",'Your debts'!$F$15&lt;'Your debts'!$F$8),BA290,0)))))</f>
        <v/>
      </c>
      <c r="T290" s="33">
        <f>R290-S290</f>
        <v/>
      </c>
      <c r="U290" s="33">
        <f>IF(Y289&lt;=0,0,ROUND(Y289*(1+'Your debts'!$D$9/1200),2))</f>
        <v/>
      </c>
      <c r="V290" s="33">
        <f>IF(U290&lt;=0,0,MIN('Your debts'!$E$9,U290))</f>
        <v/>
      </c>
      <c r="W290" s="33">
        <f>U290-V290</f>
        <v/>
      </c>
      <c r="X290" s="33">
        <f>IF('Your debts'!$F$9="",0,MIN(W290,MAX(0,MAX(0,'Your debts'!$C$19-(G290+L290+Q290+V290+AA290+AF290+AK290+AP290+AU290+AZ290))-(IF(AND('Your debts'!$F$6&lt;&gt;"",'Your debts'!$F$9&lt;&gt;"",'Your debts'!$F$6&lt;'Your debts'!$F$9),H290,0)+IF(AND('Your debts'!$F$7&lt;&gt;"",'Your debts'!$F$9&lt;&gt;"",'Your debts'!$F$7&lt;'Your debts'!$F$9),M290,0)+IF(AND('Your debts'!$F$8&lt;&gt;"",'Your debts'!$F$9&lt;&gt;"",'Your debts'!$F$8&lt;'Your debts'!$F$9),R290,0)+IF(AND('Your debts'!$F$10&lt;&gt;"",'Your debts'!$F$9&lt;&gt;"",'Your debts'!$F$10&lt;'Your debts'!$F$9),AB290,0)+IF(AND('Your debts'!$F$11&lt;&gt;"",'Your debts'!$F$9&lt;&gt;"",'Your debts'!$F$11&lt;'Your debts'!$F$9),AG290,0)+IF(AND('Your debts'!$F$12&lt;&gt;"",'Your debts'!$F$9&lt;&gt;"",'Your debts'!$F$12&lt;'Your debts'!$F$9),AL290,0)+IF(AND('Your debts'!$F$13&lt;&gt;"",'Your debts'!$F$9&lt;&gt;"",'Your debts'!$F$13&lt;'Your debts'!$F$9),AQ290,0)+IF(AND('Your debts'!$F$14&lt;&gt;"",'Your debts'!$F$9&lt;&gt;"",'Your debts'!$F$14&lt;'Your debts'!$F$9),AV290,0)+IF(AND('Your debts'!$F$15&lt;&gt;"",'Your debts'!$F$9&lt;&gt;"",'Your debts'!$F$15&lt;'Your debts'!$F$9),BA290,0)))))</f>
        <v/>
      </c>
      <c r="Y290" s="33">
        <f>W290-X290</f>
        <v/>
      </c>
      <c r="Z290" s="33">
        <f>IF(AD289&lt;=0,0,ROUND(AD289*(1+'Your debts'!$D$10/1200),2))</f>
        <v/>
      </c>
      <c r="AA290" s="33">
        <f>IF(Z290&lt;=0,0,MIN('Your debts'!$E$10,Z290))</f>
        <v/>
      </c>
      <c r="AB290" s="33">
        <f>Z290-AA290</f>
        <v/>
      </c>
      <c r="AC290" s="33">
        <f>IF('Your debts'!$F$10="",0,MIN(AB290,MAX(0,MAX(0,'Your debts'!$C$19-(G290+L290+Q290+V290+AA290+AF290+AK290+AP290+AU290+AZ290))-(IF(AND('Your debts'!$F$6&lt;&gt;"",'Your debts'!$F$10&lt;&gt;"",'Your debts'!$F$6&lt;'Your debts'!$F$10),H290,0)+IF(AND('Your debts'!$F$7&lt;&gt;"",'Your debts'!$F$10&lt;&gt;"",'Your debts'!$F$7&lt;'Your debts'!$F$10),M290,0)+IF(AND('Your debts'!$F$8&lt;&gt;"",'Your debts'!$F$10&lt;&gt;"",'Your debts'!$F$8&lt;'Your debts'!$F$10),R290,0)+IF(AND('Your debts'!$F$9&lt;&gt;"",'Your debts'!$F$10&lt;&gt;"",'Your debts'!$F$9&lt;'Your debts'!$F$10),W290,0)+IF(AND('Your debts'!$F$11&lt;&gt;"",'Your debts'!$F$10&lt;&gt;"",'Your debts'!$F$11&lt;'Your debts'!$F$10),AG290,0)+IF(AND('Your debts'!$F$12&lt;&gt;"",'Your debts'!$F$10&lt;&gt;"",'Your debts'!$F$12&lt;'Your debts'!$F$10),AL290,0)+IF(AND('Your debts'!$F$13&lt;&gt;"",'Your debts'!$F$10&lt;&gt;"",'Your debts'!$F$13&lt;'Your debts'!$F$10),AQ290,0)+IF(AND('Your debts'!$F$14&lt;&gt;"",'Your debts'!$F$10&lt;&gt;"",'Your debts'!$F$14&lt;'Your debts'!$F$10),AV290,0)+IF(AND('Your debts'!$F$15&lt;&gt;"",'Your debts'!$F$10&lt;&gt;"",'Your debts'!$F$15&lt;'Your debts'!$F$10),BA290,0)))))</f>
        <v/>
      </c>
      <c r="AD290" s="33">
        <f>AB290-AC290</f>
        <v/>
      </c>
      <c r="AE290" s="33">
        <f>IF(AI289&lt;=0,0,ROUND(AI289*(1+'Your debts'!$D$11/1200),2))</f>
        <v/>
      </c>
      <c r="AF290" s="33">
        <f>IF(AE290&lt;=0,0,MIN('Your debts'!$E$11,AE290))</f>
        <v/>
      </c>
      <c r="AG290" s="33">
        <f>AE290-AF290</f>
        <v/>
      </c>
      <c r="AH290" s="33">
        <f>IF('Your debts'!$F$11="",0,MIN(AG290,MAX(0,MAX(0,'Your debts'!$C$19-(G290+L290+Q290+V290+AA290+AF290+AK290+AP290+AU290+AZ290))-(IF(AND('Your debts'!$F$6&lt;&gt;"",'Your debts'!$F$11&lt;&gt;"",'Your debts'!$F$6&lt;'Your debts'!$F$11),H290,0)+IF(AND('Your debts'!$F$7&lt;&gt;"",'Your debts'!$F$11&lt;&gt;"",'Your debts'!$F$7&lt;'Your debts'!$F$11),M290,0)+IF(AND('Your debts'!$F$8&lt;&gt;"",'Your debts'!$F$11&lt;&gt;"",'Your debts'!$F$8&lt;'Your debts'!$F$11),R290,0)+IF(AND('Your debts'!$F$9&lt;&gt;"",'Your debts'!$F$11&lt;&gt;"",'Your debts'!$F$9&lt;'Your debts'!$F$11),W290,0)+IF(AND('Your debts'!$F$10&lt;&gt;"",'Your debts'!$F$11&lt;&gt;"",'Your debts'!$F$10&lt;'Your debts'!$F$11),AB290,0)+IF(AND('Your debts'!$F$12&lt;&gt;"",'Your debts'!$F$11&lt;&gt;"",'Your debts'!$F$12&lt;'Your debts'!$F$11),AL290,0)+IF(AND('Your debts'!$F$13&lt;&gt;"",'Your debts'!$F$11&lt;&gt;"",'Your debts'!$F$13&lt;'Your debts'!$F$11),AQ290,0)+IF(AND('Your debts'!$F$14&lt;&gt;"",'Your debts'!$F$11&lt;&gt;"",'Your debts'!$F$14&lt;'Your debts'!$F$11),AV290,0)+IF(AND('Your debts'!$F$15&lt;&gt;"",'Your debts'!$F$11&lt;&gt;"",'Your debts'!$F$15&lt;'Your debts'!$F$11),BA290,0)))))</f>
        <v/>
      </c>
      <c r="AI290" s="33">
        <f>AG290-AH290</f>
        <v/>
      </c>
      <c r="AJ290" s="33">
        <f>IF(AN289&lt;=0,0,ROUND(AN289*(1+'Your debts'!$D$12/1200),2))</f>
        <v/>
      </c>
      <c r="AK290" s="33">
        <f>IF(AJ290&lt;=0,0,MIN('Your debts'!$E$12,AJ290))</f>
        <v/>
      </c>
      <c r="AL290" s="33">
        <f>AJ290-AK290</f>
        <v/>
      </c>
      <c r="AM290" s="33">
        <f>IF('Your debts'!$F$12="",0,MIN(AL290,MAX(0,MAX(0,'Your debts'!$C$19-(G290+L290+Q290+V290+AA290+AF290+AK290+AP290+AU290+AZ290))-(IF(AND('Your debts'!$F$6&lt;&gt;"",'Your debts'!$F$12&lt;&gt;"",'Your debts'!$F$6&lt;'Your debts'!$F$12),H290,0)+IF(AND('Your debts'!$F$7&lt;&gt;"",'Your debts'!$F$12&lt;&gt;"",'Your debts'!$F$7&lt;'Your debts'!$F$12),M290,0)+IF(AND('Your debts'!$F$8&lt;&gt;"",'Your debts'!$F$12&lt;&gt;"",'Your debts'!$F$8&lt;'Your debts'!$F$12),R290,0)+IF(AND('Your debts'!$F$9&lt;&gt;"",'Your debts'!$F$12&lt;&gt;"",'Your debts'!$F$9&lt;'Your debts'!$F$12),W290,0)+IF(AND('Your debts'!$F$10&lt;&gt;"",'Your debts'!$F$12&lt;&gt;"",'Your debts'!$F$10&lt;'Your debts'!$F$12),AB290,0)+IF(AND('Your debts'!$F$11&lt;&gt;"",'Your debts'!$F$12&lt;&gt;"",'Your debts'!$F$11&lt;'Your debts'!$F$12),AG290,0)+IF(AND('Your debts'!$F$13&lt;&gt;"",'Your debts'!$F$12&lt;&gt;"",'Your debts'!$F$13&lt;'Your debts'!$F$12),AQ290,0)+IF(AND('Your debts'!$F$14&lt;&gt;"",'Your debts'!$F$12&lt;&gt;"",'Your debts'!$F$14&lt;'Your debts'!$F$12),AV290,0)+IF(AND('Your debts'!$F$15&lt;&gt;"",'Your debts'!$F$12&lt;&gt;"",'Your debts'!$F$15&lt;'Your debts'!$F$12),BA290,0)))))</f>
        <v/>
      </c>
      <c r="AN290" s="33">
        <f>AL290-AM290</f>
        <v/>
      </c>
      <c r="AO290" s="33">
        <f>IF(AS289&lt;=0,0,ROUND(AS289*(1+'Your debts'!$D$13/1200),2))</f>
        <v/>
      </c>
      <c r="AP290" s="33">
        <f>IF(AO290&lt;=0,0,MIN('Your debts'!$E$13,AO290))</f>
        <v/>
      </c>
      <c r="AQ290" s="33">
        <f>AO290-AP290</f>
        <v/>
      </c>
      <c r="AR290" s="33">
        <f>IF('Your debts'!$F$13="",0,MIN(AQ290,MAX(0,MAX(0,'Your debts'!$C$19-(G290+L290+Q290+V290+AA290+AF290+AK290+AP290+AU290+AZ290))-(IF(AND('Your debts'!$F$6&lt;&gt;"",'Your debts'!$F$13&lt;&gt;"",'Your debts'!$F$6&lt;'Your debts'!$F$13),H290,0)+IF(AND('Your debts'!$F$7&lt;&gt;"",'Your debts'!$F$13&lt;&gt;"",'Your debts'!$F$7&lt;'Your debts'!$F$13),M290,0)+IF(AND('Your debts'!$F$8&lt;&gt;"",'Your debts'!$F$13&lt;&gt;"",'Your debts'!$F$8&lt;'Your debts'!$F$13),R290,0)+IF(AND('Your debts'!$F$9&lt;&gt;"",'Your debts'!$F$13&lt;&gt;"",'Your debts'!$F$9&lt;'Your debts'!$F$13),W290,0)+IF(AND('Your debts'!$F$10&lt;&gt;"",'Your debts'!$F$13&lt;&gt;"",'Your debts'!$F$10&lt;'Your debts'!$F$13),AB290,0)+IF(AND('Your debts'!$F$11&lt;&gt;"",'Your debts'!$F$13&lt;&gt;"",'Your debts'!$F$11&lt;'Your debts'!$F$13),AG290,0)+IF(AND('Your debts'!$F$12&lt;&gt;"",'Your debts'!$F$13&lt;&gt;"",'Your debts'!$F$12&lt;'Your debts'!$F$13),AL290,0)+IF(AND('Your debts'!$F$14&lt;&gt;"",'Your debts'!$F$13&lt;&gt;"",'Your debts'!$F$14&lt;'Your debts'!$F$13),AV290,0)+IF(AND('Your debts'!$F$15&lt;&gt;"",'Your debts'!$F$13&lt;&gt;"",'Your debts'!$F$15&lt;'Your debts'!$F$13),BA290,0)))))</f>
        <v/>
      </c>
      <c r="AS290" s="33">
        <f>AQ290-AR290</f>
        <v/>
      </c>
      <c r="AT290" s="33">
        <f>IF(AX289&lt;=0,0,ROUND(AX289*(1+'Your debts'!$D$14/1200),2))</f>
        <v/>
      </c>
      <c r="AU290" s="33">
        <f>IF(AT290&lt;=0,0,MIN('Your debts'!$E$14,AT290))</f>
        <v/>
      </c>
      <c r="AV290" s="33">
        <f>AT290-AU290</f>
        <v/>
      </c>
      <c r="AW290" s="33">
        <f>IF('Your debts'!$F$14="",0,MIN(AV290,MAX(0,MAX(0,'Your debts'!$C$19-(G290+L290+Q290+V290+AA290+AF290+AK290+AP290+AU290+AZ290))-(IF(AND('Your debts'!$F$6&lt;&gt;"",'Your debts'!$F$14&lt;&gt;"",'Your debts'!$F$6&lt;'Your debts'!$F$14),H290,0)+IF(AND('Your debts'!$F$7&lt;&gt;"",'Your debts'!$F$14&lt;&gt;"",'Your debts'!$F$7&lt;'Your debts'!$F$14),M290,0)+IF(AND('Your debts'!$F$8&lt;&gt;"",'Your debts'!$F$14&lt;&gt;"",'Your debts'!$F$8&lt;'Your debts'!$F$14),R290,0)+IF(AND('Your debts'!$F$9&lt;&gt;"",'Your debts'!$F$14&lt;&gt;"",'Your debts'!$F$9&lt;'Your debts'!$F$14),W290,0)+IF(AND('Your debts'!$F$10&lt;&gt;"",'Your debts'!$F$14&lt;&gt;"",'Your debts'!$F$10&lt;'Your debts'!$F$14),AB290,0)+IF(AND('Your debts'!$F$11&lt;&gt;"",'Your debts'!$F$14&lt;&gt;"",'Your debts'!$F$11&lt;'Your debts'!$F$14),AG290,0)+IF(AND('Your debts'!$F$12&lt;&gt;"",'Your debts'!$F$14&lt;&gt;"",'Your debts'!$F$12&lt;'Your debts'!$F$14),AL290,0)+IF(AND('Your debts'!$F$13&lt;&gt;"",'Your debts'!$F$14&lt;&gt;"",'Your debts'!$F$13&lt;'Your debts'!$F$14),AQ290,0)+IF(AND('Your debts'!$F$15&lt;&gt;"",'Your debts'!$F$14&lt;&gt;"",'Your debts'!$F$15&lt;'Your debts'!$F$14),BA290,0)))))</f>
        <v/>
      </c>
      <c r="AX290" s="33">
        <f>AV290-AW290</f>
        <v/>
      </c>
      <c r="AY290" s="33">
        <f>IF(BC289&lt;=0,0,ROUND(BC289*(1+'Your debts'!$D$15/1200),2))</f>
        <v/>
      </c>
      <c r="AZ290" s="33">
        <f>IF(AY290&lt;=0,0,MIN('Your debts'!$E$15,AY290))</f>
        <v/>
      </c>
      <c r="BA290" s="33">
        <f>AY290-AZ290</f>
        <v/>
      </c>
      <c r="BB290" s="33">
        <f>IF('Your debts'!$F$15="",0,MIN(BA290,MAX(0,MAX(0,'Your debts'!$C$19-(G290+L290+Q290+V290+AA290+AF290+AK290+AP290+AU290+AZ290))-(IF(AND('Your debts'!$F$6&lt;&gt;"",'Your debts'!$F$15&lt;&gt;"",'Your debts'!$F$6&lt;'Your debts'!$F$15),H290,0)+IF(AND('Your debts'!$F$7&lt;&gt;"",'Your debts'!$F$15&lt;&gt;"",'Your debts'!$F$7&lt;'Your debts'!$F$15),M290,0)+IF(AND('Your debts'!$F$8&lt;&gt;"",'Your debts'!$F$15&lt;&gt;"",'Your debts'!$F$8&lt;'Your debts'!$F$15),R290,0)+IF(AND('Your debts'!$F$9&lt;&gt;"",'Your debts'!$F$15&lt;&gt;"",'Your debts'!$F$9&lt;'Your debts'!$F$15),W290,0)+IF(AND('Your debts'!$F$10&lt;&gt;"",'Your debts'!$F$15&lt;&gt;"",'Your debts'!$F$10&lt;'Your debts'!$F$15),AB290,0)+IF(AND('Your debts'!$F$11&lt;&gt;"",'Your debts'!$F$15&lt;&gt;"",'Your debts'!$F$11&lt;'Your debts'!$F$15),AG290,0)+IF(AND('Your debts'!$F$12&lt;&gt;"",'Your debts'!$F$15&lt;&gt;"",'Your debts'!$F$12&lt;'Your debts'!$F$15),AL290,0)+IF(AND('Your debts'!$F$13&lt;&gt;"",'Your debts'!$F$15&lt;&gt;"",'Your debts'!$F$13&lt;'Your debts'!$F$15),AQ290,0)+IF(AND('Your debts'!$F$14&lt;&gt;"",'Your debts'!$F$15&lt;&gt;"",'Your debts'!$F$14&lt;'Your debts'!$F$15),AV290,0)))))</f>
        <v/>
      </c>
      <c r="BC290" s="33">
        <f>BA290-BB290</f>
        <v/>
      </c>
    </row>
    <row r="291">
      <c r="A291" s="30" t="n">
        <v>276</v>
      </c>
      <c r="B291" s="31">
        <f>EDATE($B$15,276)</f>
        <v/>
      </c>
      <c r="C291" s="32">
        <f>IF(J290&lt;=0,0,F291-J290)+IF(O290&lt;=0,0,K291-O290)+IF(T290&lt;=0,0,P291-T290)+IF(Y290&lt;=0,0,U291-Y290)+IF(AD290&lt;=0,0,Z291-AD290)+IF(AI290&lt;=0,0,AE291-AI290)+IF(AN290&lt;=0,0,AJ291-AN290)+IF(AS290&lt;=0,0,AO291-AS290)+IF(AX290&lt;=0,0,AT291-AX290)+IF(BC290&lt;=0,0,AY291-BC290)</f>
        <v/>
      </c>
      <c r="D291" s="32">
        <f>G291+I291+L291+N291+Q291+S291+V291+X291+AA291+AC291+AF291+AH291+AK291+AM291+AP291+AR291+AU291+AW291+AZ291+BB291</f>
        <v/>
      </c>
      <c r="E291" s="32">
        <f>J291+O291+T291+Y291+AD291+AI291+AN291+AS291+AX291+BC291</f>
        <v/>
      </c>
      <c r="F291" s="33">
        <f>IF(J290&lt;=0,0,ROUND(J290*(1+'Your debts'!$D$6/1200),2))</f>
        <v/>
      </c>
      <c r="G291" s="33">
        <f>IF(F291&lt;=0,0,MIN('Your debts'!$E$6,F291))</f>
        <v/>
      </c>
      <c r="H291" s="33">
        <f>F291-G291</f>
        <v/>
      </c>
      <c r="I291" s="33">
        <f>IF('Your debts'!$F$6="",0,MIN(H291,MAX(0,MAX(0,'Your debts'!$C$19-(G291+L291+Q291+V291+AA291+AF291+AK291+AP291+AU291+AZ291))-(IF(AND('Your debts'!$F$7&lt;&gt;"",'Your debts'!$F$6&lt;&gt;"",'Your debts'!$F$7&lt;'Your debts'!$F$6),M291,0)+IF(AND('Your debts'!$F$8&lt;&gt;"",'Your debts'!$F$6&lt;&gt;"",'Your debts'!$F$8&lt;'Your debts'!$F$6),R291,0)+IF(AND('Your debts'!$F$9&lt;&gt;"",'Your debts'!$F$6&lt;&gt;"",'Your debts'!$F$9&lt;'Your debts'!$F$6),W291,0)+IF(AND('Your debts'!$F$10&lt;&gt;"",'Your debts'!$F$6&lt;&gt;"",'Your debts'!$F$10&lt;'Your debts'!$F$6),AB291,0)+IF(AND('Your debts'!$F$11&lt;&gt;"",'Your debts'!$F$6&lt;&gt;"",'Your debts'!$F$11&lt;'Your debts'!$F$6),AG291,0)+IF(AND('Your debts'!$F$12&lt;&gt;"",'Your debts'!$F$6&lt;&gt;"",'Your debts'!$F$12&lt;'Your debts'!$F$6),AL291,0)+IF(AND('Your debts'!$F$13&lt;&gt;"",'Your debts'!$F$6&lt;&gt;"",'Your debts'!$F$13&lt;'Your debts'!$F$6),AQ291,0)+IF(AND('Your debts'!$F$14&lt;&gt;"",'Your debts'!$F$6&lt;&gt;"",'Your debts'!$F$14&lt;'Your debts'!$F$6),AV291,0)+IF(AND('Your debts'!$F$15&lt;&gt;"",'Your debts'!$F$6&lt;&gt;"",'Your debts'!$F$15&lt;'Your debts'!$F$6),BA291,0)))))</f>
        <v/>
      </c>
      <c r="J291" s="33">
        <f>H291-I291</f>
        <v/>
      </c>
      <c r="K291" s="33">
        <f>IF(O290&lt;=0,0,ROUND(O290*(1+'Your debts'!$D$7/1200),2))</f>
        <v/>
      </c>
      <c r="L291" s="33">
        <f>IF(K291&lt;=0,0,MIN('Your debts'!$E$7,K291))</f>
        <v/>
      </c>
      <c r="M291" s="33">
        <f>K291-L291</f>
        <v/>
      </c>
      <c r="N291" s="33">
        <f>IF('Your debts'!$F$7="",0,MIN(M291,MAX(0,MAX(0,'Your debts'!$C$19-(G291+L291+Q291+V291+AA291+AF291+AK291+AP291+AU291+AZ291))-(IF(AND('Your debts'!$F$6&lt;&gt;"",'Your debts'!$F$7&lt;&gt;"",'Your debts'!$F$6&lt;'Your debts'!$F$7),H291,0)+IF(AND('Your debts'!$F$8&lt;&gt;"",'Your debts'!$F$7&lt;&gt;"",'Your debts'!$F$8&lt;'Your debts'!$F$7),R291,0)+IF(AND('Your debts'!$F$9&lt;&gt;"",'Your debts'!$F$7&lt;&gt;"",'Your debts'!$F$9&lt;'Your debts'!$F$7),W291,0)+IF(AND('Your debts'!$F$10&lt;&gt;"",'Your debts'!$F$7&lt;&gt;"",'Your debts'!$F$10&lt;'Your debts'!$F$7),AB291,0)+IF(AND('Your debts'!$F$11&lt;&gt;"",'Your debts'!$F$7&lt;&gt;"",'Your debts'!$F$11&lt;'Your debts'!$F$7),AG291,0)+IF(AND('Your debts'!$F$12&lt;&gt;"",'Your debts'!$F$7&lt;&gt;"",'Your debts'!$F$12&lt;'Your debts'!$F$7),AL291,0)+IF(AND('Your debts'!$F$13&lt;&gt;"",'Your debts'!$F$7&lt;&gt;"",'Your debts'!$F$13&lt;'Your debts'!$F$7),AQ291,0)+IF(AND('Your debts'!$F$14&lt;&gt;"",'Your debts'!$F$7&lt;&gt;"",'Your debts'!$F$14&lt;'Your debts'!$F$7),AV291,0)+IF(AND('Your debts'!$F$15&lt;&gt;"",'Your debts'!$F$7&lt;&gt;"",'Your debts'!$F$15&lt;'Your debts'!$F$7),BA291,0)))))</f>
        <v/>
      </c>
      <c r="O291" s="33">
        <f>M291-N291</f>
        <v/>
      </c>
      <c r="P291" s="33">
        <f>IF(T290&lt;=0,0,ROUND(T290*(1+'Your debts'!$D$8/1200),2))</f>
        <v/>
      </c>
      <c r="Q291" s="33">
        <f>IF(P291&lt;=0,0,MIN('Your debts'!$E$8,P291))</f>
        <v/>
      </c>
      <c r="R291" s="33">
        <f>P291-Q291</f>
        <v/>
      </c>
      <c r="S291" s="33">
        <f>IF('Your debts'!$F$8="",0,MIN(R291,MAX(0,MAX(0,'Your debts'!$C$19-(G291+L291+Q291+V291+AA291+AF291+AK291+AP291+AU291+AZ291))-(IF(AND('Your debts'!$F$6&lt;&gt;"",'Your debts'!$F$8&lt;&gt;"",'Your debts'!$F$6&lt;'Your debts'!$F$8),H291,0)+IF(AND('Your debts'!$F$7&lt;&gt;"",'Your debts'!$F$8&lt;&gt;"",'Your debts'!$F$7&lt;'Your debts'!$F$8),M291,0)+IF(AND('Your debts'!$F$9&lt;&gt;"",'Your debts'!$F$8&lt;&gt;"",'Your debts'!$F$9&lt;'Your debts'!$F$8),W291,0)+IF(AND('Your debts'!$F$10&lt;&gt;"",'Your debts'!$F$8&lt;&gt;"",'Your debts'!$F$10&lt;'Your debts'!$F$8),AB291,0)+IF(AND('Your debts'!$F$11&lt;&gt;"",'Your debts'!$F$8&lt;&gt;"",'Your debts'!$F$11&lt;'Your debts'!$F$8),AG291,0)+IF(AND('Your debts'!$F$12&lt;&gt;"",'Your debts'!$F$8&lt;&gt;"",'Your debts'!$F$12&lt;'Your debts'!$F$8),AL291,0)+IF(AND('Your debts'!$F$13&lt;&gt;"",'Your debts'!$F$8&lt;&gt;"",'Your debts'!$F$13&lt;'Your debts'!$F$8),AQ291,0)+IF(AND('Your debts'!$F$14&lt;&gt;"",'Your debts'!$F$8&lt;&gt;"",'Your debts'!$F$14&lt;'Your debts'!$F$8),AV291,0)+IF(AND('Your debts'!$F$15&lt;&gt;"",'Your debts'!$F$8&lt;&gt;"",'Your debts'!$F$15&lt;'Your debts'!$F$8),BA291,0)))))</f>
        <v/>
      </c>
      <c r="T291" s="33">
        <f>R291-S291</f>
        <v/>
      </c>
      <c r="U291" s="33">
        <f>IF(Y290&lt;=0,0,ROUND(Y290*(1+'Your debts'!$D$9/1200),2))</f>
        <v/>
      </c>
      <c r="V291" s="33">
        <f>IF(U291&lt;=0,0,MIN('Your debts'!$E$9,U291))</f>
        <v/>
      </c>
      <c r="W291" s="33">
        <f>U291-V291</f>
        <v/>
      </c>
      <c r="X291" s="33">
        <f>IF('Your debts'!$F$9="",0,MIN(W291,MAX(0,MAX(0,'Your debts'!$C$19-(G291+L291+Q291+V291+AA291+AF291+AK291+AP291+AU291+AZ291))-(IF(AND('Your debts'!$F$6&lt;&gt;"",'Your debts'!$F$9&lt;&gt;"",'Your debts'!$F$6&lt;'Your debts'!$F$9),H291,0)+IF(AND('Your debts'!$F$7&lt;&gt;"",'Your debts'!$F$9&lt;&gt;"",'Your debts'!$F$7&lt;'Your debts'!$F$9),M291,0)+IF(AND('Your debts'!$F$8&lt;&gt;"",'Your debts'!$F$9&lt;&gt;"",'Your debts'!$F$8&lt;'Your debts'!$F$9),R291,0)+IF(AND('Your debts'!$F$10&lt;&gt;"",'Your debts'!$F$9&lt;&gt;"",'Your debts'!$F$10&lt;'Your debts'!$F$9),AB291,0)+IF(AND('Your debts'!$F$11&lt;&gt;"",'Your debts'!$F$9&lt;&gt;"",'Your debts'!$F$11&lt;'Your debts'!$F$9),AG291,0)+IF(AND('Your debts'!$F$12&lt;&gt;"",'Your debts'!$F$9&lt;&gt;"",'Your debts'!$F$12&lt;'Your debts'!$F$9),AL291,0)+IF(AND('Your debts'!$F$13&lt;&gt;"",'Your debts'!$F$9&lt;&gt;"",'Your debts'!$F$13&lt;'Your debts'!$F$9),AQ291,0)+IF(AND('Your debts'!$F$14&lt;&gt;"",'Your debts'!$F$9&lt;&gt;"",'Your debts'!$F$14&lt;'Your debts'!$F$9),AV291,0)+IF(AND('Your debts'!$F$15&lt;&gt;"",'Your debts'!$F$9&lt;&gt;"",'Your debts'!$F$15&lt;'Your debts'!$F$9),BA291,0)))))</f>
        <v/>
      </c>
      <c r="Y291" s="33">
        <f>W291-X291</f>
        <v/>
      </c>
      <c r="Z291" s="33">
        <f>IF(AD290&lt;=0,0,ROUND(AD290*(1+'Your debts'!$D$10/1200),2))</f>
        <v/>
      </c>
      <c r="AA291" s="33">
        <f>IF(Z291&lt;=0,0,MIN('Your debts'!$E$10,Z291))</f>
        <v/>
      </c>
      <c r="AB291" s="33">
        <f>Z291-AA291</f>
        <v/>
      </c>
      <c r="AC291" s="33">
        <f>IF('Your debts'!$F$10="",0,MIN(AB291,MAX(0,MAX(0,'Your debts'!$C$19-(G291+L291+Q291+V291+AA291+AF291+AK291+AP291+AU291+AZ291))-(IF(AND('Your debts'!$F$6&lt;&gt;"",'Your debts'!$F$10&lt;&gt;"",'Your debts'!$F$6&lt;'Your debts'!$F$10),H291,0)+IF(AND('Your debts'!$F$7&lt;&gt;"",'Your debts'!$F$10&lt;&gt;"",'Your debts'!$F$7&lt;'Your debts'!$F$10),M291,0)+IF(AND('Your debts'!$F$8&lt;&gt;"",'Your debts'!$F$10&lt;&gt;"",'Your debts'!$F$8&lt;'Your debts'!$F$10),R291,0)+IF(AND('Your debts'!$F$9&lt;&gt;"",'Your debts'!$F$10&lt;&gt;"",'Your debts'!$F$9&lt;'Your debts'!$F$10),W291,0)+IF(AND('Your debts'!$F$11&lt;&gt;"",'Your debts'!$F$10&lt;&gt;"",'Your debts'!$F$11&lt;'Your debts'!$F$10),AG291,0)+IF(AND('Your debts'!$F$12&lt;&gt;"",'Your debts'!$F$10&lt;&gt;"",'Your debts'!$F$12&lt;'Your debts'!$F$10),AL291,0)+IF(AND('Your debts'!$F$13&lt;&gt;"",'Your debts'!$F$10&lt;&gt;"",'Your debts'!$F$13&lt;'Your debts'!$F$10),AQ291,0)+IF(AND('Your debts'!$F$14&lt;&gt;"",'Your debts'!$F$10&lt;&gt;"",'Your debts'!$F$14&lt;'Your debts'!$F$10),AV291,0)+IF(AND('Your debts'!$F$15&lt;&gt;"",'Your debts'!$F$10&lt;&gt;"",'Your debts'!$F$15&lt;'Your debts'!$F$10),BA291,0)))))</f>
        <v/>
      </c>
      <c r="AD291" s="33">
        <f>AB291-AC291</f>
        <v/>
      </c>
      <c r="AE291" s="33">
        <f>IF(AI290&lt;=0,0,ROUND(AI290*(1+'Your debts'!$D$11/1200),2))</f>
        <v/>
      </c>
      <c r="AF291" s="33">
        <f>IF(AE291&lt;=0,0,MIN('Your debts'!$E$11,AE291))</f>
        <v/>
      </c>
      <c r="AG291" s="33">
        <f>AE291-AF291</f>
        <v/>
      </c>
      <c r="AH291" s="33">
        <f>IF('Your debts'!$F$11="",0,MIN(AG291,MAX(0,MAX(0,'Your debts'!$C$19-(G291+L291+Q291+V291+AA291+AF291+AK291+AP291+AU291+AZ291))-(IF(AND('Your debts'!$F$6&lt;&gt;"",'Your debts'!$F$11&lt;&gt;"",'Your debts'!$F$6&lt;'Your debts'!$F$11),H291,0)+IF(AND('Your debts'!$F$7&lt;&gt;"",'Your debts'!$F$11&lt;&gt;"",'Your debts'!$F$7&lt;'Your debts'!$F$11),M291,0)+IF(AND('Your debts'!$F$8&lt;&gt;"",'Your debts'!$F$11&lt;&gt;"",'Your debts'!$F$8&lt;'Your debts'!$F$11),R291,0)+IF(AND('Your debts'!$F$9&lt;&gt;"",'Your debts'!$F$11&lt;&gt;"",'Your debts'!$F$9&lt;'Your debts'!$F$11),W291,0)+IF(AND('Your debts'!$F$10&lt;&gt;"",'Your debts'!$F$11&lt;&gt;"",'Your debts'!$F$10&lt;'Your debts'!$F$11),AB291,0)+IF(AND('Your debts'!$F$12&lt;&gt;"",'Your debts'!$F$11&lt;&gt;"",'Your debts'!$F$12&lt;'Your debts'!$F$11),AL291,0)+IF(AND('Your debts'!$F$13&lt;&gt;"",'Your debts'!$F$11&lt;&gt;"",'Your debts'!$F$13&lt;'Your debts'!$F$11),AQ291,0)+IF(AND('Your debts'!$F$14&lt;&gt;"",'Your debts'!$F$11&lt;&gt;"",'Your debts'!$F$14&lt;'Your debts'!$F$11),AV291,0)+IF(AND('Your debts'!$F$15&lt;&gt;"",'Your debts'!$F$11&lt;&gt;"",'Your debts'!$F$15&lt;'Your debts'!$F$11),BA291,0)))))</f>
        <v/>
      </c>
      <c r="AI291" s="33">
        <f>AG291-AH291</f>
        <v/>
      </c>
      <c r="AJ291" s="33">
        <f>IF(AN290&lt;=0,0,ROUND(AN290*(1+'Your debts'!$D$12/1200),2))</f>
        <v/>
      </c>
      <c r="AK291" s="33">
        <f>IF(AJ291&lt;=0,0,MIN('Your debts'!$E$12,AJ291))</f>
        <v/>
      </c>
      <c r="AL291" s="33">
        <f>AJ291-AK291</f>
        <v/>
      </c>
      <c r="AM291" s="33">
        <f>IF('Your debts'!$F$12="",0,MIN(AL291,MAX(0,MAX(0,'Your debts'!$C$19-(G291+L291+Q291+V291+AA291+AF291+AK291+AP291+AU291+AZ291))-(IF(AND('Your debts'!$F$6&lt;&gt;"",'Your debts'!$F$12&lt;&gt;"",'Your debts'!$F$6&lt;'Your debts'!$F$12),H291,0)+IF(AND('Your debts'!$F$7&lt;&gt;"",'Your debts'!$F$12&lt;&gt;"",'Your debts'!$F$7&lt;'Your debts'!$F$12),M291,0)+IF(AND('Your debts'!$F$8&lt;&gt;"",'Your debts'!$F$12&lt;&gt;"",'Your debts'!$F$8&lt;'Your debts'!$F$12),R291,0)+IF(AND('Your debts'!$F$9&lt;&gt;"",'Your debts'!$F$12&lt;&gt;"",'Your debts'!$F$9&lt;'Your debts'!$F$12),W291,0)+IF(AND('Your debts'!$F$10&lt;&gt;"",'Your debts'!$F$12&lt;&gt;"",'Your debts'!$F$10&lt;'Your debts'!$F$12),AB291,0)+IF(AND('Your debts'!$F$11&lt;&gt;"",'Your debts'!$F$12&lt;&gt;"",'Your debts'!$F$11&lt;'Your debts'!$F$12),AG291,0)+IF(AND('Your debts'!$F$13&lt;&gt;"",'Your debts'!$F$12&lt;&gt;"",'Your debts'!$F$13&lt;'Your debts'!$F$12),AQ291,0)+IF(AND('Your debts'!$F$14&lt;&gt;"",'Your debts'!$F$12&lt;&gt;"",'Your debts'!$F$14&lt;'Your debts'!$F$12),AV291,0)+IF(AND('Your debts'!$F$15&lt;&gt;"",'Your debts'!$F$12&lt;&gt;"",'Your debts'!$F$15&lt;'Your debts'!$F$12),BA291,0)))))</f>
        <v/>
      </c>
      <c r="AN291" s="33">
        <f>AL291-AM291</f>
        <v/>
      </c>
      <c r="AO291" s="33">
        <f>IF(AS290&lt;=0,0,ROUND(AS290*(1+'Your debts'!$D$13/1200),2))</f>
        <v/>
      </c>
      <c r="AP291" s="33">
        <f>IF(AO291&lt;=0,0,MIN('Your debts'!$E$13,AO291))</f>
        <v/>
      </c>
      <c r="AQ291" s="33">
        <f>AO291-AP291</f>
        <v/>
      </c>
      <c r="AR291" s="33">
        <f>IF('Your debts'!$F$13="",0,MIN(AQ291,MAX(0,MAX(0,'Your debts'!$C$19-(G291+L291+Q291+V291+AA291+AF291+AK291+AP291+AU291+AZ291))-(IF(AND('Your debts'!$F$6&lt;&gt;"",'Your debts'!$F$13&lt;&gt;"",'Your debts'!$F$6&lt;'Your debts'!$F$13),H291,0)+IF(AND('Your debts'!$F$7&lt;&gt;"",'Your debts'!$F$13&lt;&gt;"",'Your debts'!$F$7&lt;'Your debts'!$F$13),M291,0)+IF(AND('Your debts'!$F$8&lt;&gt;"",'Your debts'!$F$13&lt;&gt;"",'Your debts'!$F$8&lt;'Your debts'!$F$13),R291,0)+IF(AND('Your debts'!$F$9&lt;&gt;"",'Your debts'!$F$13&lt;&gt;"",'Your debts'!$F$9&lt;'Your debts'!$F$13),W291,0)+IF(AND('Your debts'!$F$10&lt;&gt;"",'Your debts'!$F$13&lt;&gt;"",'Your debts'!$F$10&lt;'Your debts'!$F$13),AB291,0)+IF(AND('Your debts'!$F$11&lt;&gt;"",'Your debts'!$F$13&lt;&gt;"",'Your debts'!$F$11&lt;'Your debts'!$F$13),AG291,0)+IF(AND('Your debts'!$F$12&lt;&gt;"",'Your debts'!$F$13&lt;&gt;"",'Your debts'!$F$12&lt;'Your debts'!$F$13),AL291,0)+IF(AND('Your debts'!$F$14&lt;&gt;"",'Your debts'!$F$13&lt;&gt;"",'Your debts'!$F$14&lt;'Your debts'!$F$13),AV291,0)+IF(AND('Your debts'!$F$15&lt;&gt;"",'Your debts'!$F$13&lt;&gt;"",'Your debts'!$F$15&lt;'Your debts'!$F$13),BA291,0)))))</f>
        <v/>
      </c>
      <c r="AS291" s="33">
        <f>AQ291-AR291</f>
        <v/>
      </c>
      <c r="AT291" s="33">
        <f>IF(AX290&lt;=0,0,ROUND(AX290*(1+'Your debts'!$D$14/1200),2))</f>
        <v/>
      </c>
      <c r="AU291" s="33">
        <f>IF(AT291&lt;=0,0,MIN('Your debts'!$E$14,AT291))</f>
        <v/>
      </c>
      <c r="AV291" s="33">
        <f>AT291-AU291</f>
        <v/>
      </c>
      <c r="AW291" s="33">
        <f>IF('Your debts'!$F$14="",0,MIN(AV291,MAX(0,MAX(0,'Your debts'!$C$19-(G291+L291+Q291+V291+AA291+AF291+AK291+AP291+AU291+AZ291))-(IF(AND('Your debts'!$F$6&lt;&gt;"",'Your debts'!$F$14&lt;&gt;"",'Your debts'!$F$6&lt;'Your debts'!$F$14),H291,0)+IF(AND('Your debts'!$F$7&lt;&gt;"",'Your debts'!$F$14&lt;&gt;"",'Your debts'!$F$7&lt;'Your debts'!$F$14),M291,0)+IF(AND('Your debts'!$F$8&lt;&gt;"",'Your debts'!$F$14&lt;&gt;"",'Your debts'!$F$8&lt;'Your debts'!$F$14),R291,0)+IF(AND('Your debts'!$F$9&lt;&gt;"",'Your debts'!$F$14&lt;&gt;"",'Your debts'!$F$9&lt;'Your debts'!$F$14),W291,0)+IF(AND('Your debts'!$F$10&lt;&gt;"",'Your debts'!$F$14&lt;&gt;"",'Your debts'!$F$10&lt;'Your debts'!$F$14),AB291,0)+IF(AND('Your debts'!$F$11&lt;&gt;"",'Your debts'!$F$14&lt;&gt;"",'Your debts'!$F$11&lt;'Your debts'!$F$14),AG291,0)+IF(AND('Your debts'!$F$12&lt;&gt;"",'Your debts'!$F$14&lt;&gt;"",'Your debts'!$F$12&lt;'Your debts'!$F$14),AL291,0)+IF(AND('Your debts'!$F$13&lt;&gt;"",'Your debts'!$F$14&lt;&gt;"",'Your debts'!$F$13&lt;'Your debts'!$F$14),AQ291,0)+IF(AND('Your debts'!$F$15&lt;&gt;"",'Your debts'!$F$14&lt;&gt;"",'Your debts'!$F$15&lt;'Your debts'!$F$14),BA291,0)))))</f>
        <v/>
      </c>
      <c r="AX291" s="33">
        <f>AV291-AW291</f>
        <v/>
      </c>
      <c r="AY291" s="33">
        <f>IF(BC290&lt;=0,0,ROUND(BC290*(1+'Your debts'!$D$15/1200),2))</f>
        <v/>
      </c>
      <c r="AZ291" s="33">
        <f>IF(AY291&lt;=0,0,MIN('Your debts'!$E$15,AY291))</f>
        <v/>
      </c>
      <c r="BA291" s="33">
        <f>AY291-AZ291</f>
        <v/>
      </c>
      <c r="BB291" s="33">
        <f>IF('Your debts'!$F$15="",0,MIN(BA291,MAX(0,MAX(0,'Your debts'!$C$19-(G291+L291+Q291+V291+AA291+AF291+AK291+AP291+AU291+AZ291))-(IF(AND('Your debts'!$F$6&lt;&gt;"",'Your debts'!$F$15&lt;&gt;"",'Your debts'!$F$6&lt;'Your debts'!$F$15),H291,0)+IF(AND('Your debts'!$F$7&lt;&gt;"",'Your debts'!$F$15&lt;&gt;"",'Your debts'!$F$7&lt;'Your debts'!$F$15),M291,0)+IF(AND('Your debts'!$F$8&lt;&gt;"",'Your debts'!$F$15&lt;&gt;"",'Your debts'!$F$8&lt;'Your debts'!$F$15),R291,0)+IF(AND('Your debts'!$F$9&lt;&gt;"",'Your debts'!$F$15&lt;&gt;"",'Your debts'!$F$9&lt;'Your debts'!$F$15),W291,0)+IF(AND('Your debts'!$F$10&lt;&gt;"",'Your debts'!$F$15&lt;&gt;"",'Your debts'!$F$10&lt;'Your debts'!$F$15),AB291,0)+IF(AND('Your debts'!$F$11&lt;&gt;"",'Your debts'!$F$15&lt;&gt;"",'Your debts'!$F$11&lt;'Your debts'!$F$15),AG291,0)+IF(AND('Your debts'!$F$12&lt;&gt;"",'Your debts'!$F$15&lt;&gt;"",'Your debts'!$F$12&lt;'Your debts'!$F$15),AL291,0)+IF(AND('Your debts'!$F$13&lt;&gt;"",'Your debts'!$F$15&lt;&gt;"",'Your debts'!$F$13&lt;'Your debts'!$F$15),AQ291,0)+IF(AND('Your debts'!$F$14&lt;&gt;"",'Your debts'!$F$15&lt;&gt;"",'Your debts'!$F$14&lt;'Your debts'!$F$15),AV291,0)))))</f>
        <v/>
      </c>
      <c r="BC291" s="33">
        <f>BA291-BB291</f>
        <v/>
      </c>
    </row>
    <row r="292">
      <c r="A292" s="30" t="n">
        <v>277</v>
      </c>
      <c r="B292" s="31">
        <f>EDATE($B$15,277)</f>
        <v/>
      </c>
      <c r="C292" s="32">
        <f>IF(J291&lt;=0,0,F292-J291)+IF(O291&lt;=0,0,K292-O291)+IF(T291&lt;=0,0,P292-T291)+IF(Y291&lt;=0,0,U292-Y291)+IF(AD291&lt;=0,0,Z292-AD291)+IF(AI291&lt;=0,0,AE292-AI291)+IF(AN291&lt;=0,0,AJ292-AN291)+IF(AS291&lt;=0,0,AO292-AS291)+IF(AX291&lt;=0,0,AT292-AX291)+IF(BC291&lt;=0,0,AY292-BC291)</f>
        <v/>
      </c>
      <c r="D292" s="32">
        <f>G292+I292+L292+N292+Q292+S292+V292+X292+AA292+AC292+AF292+AH292+AK292+AM292+AP292+AR292+AU292+AW292+AZ292+BB292</f>
        <v/>
      </c>
      <c r="E292" s="32">
        <f>J292+O292+T292+Y292+AD292+AI292+AN292+AS292+AX292+BC292</f>
        <v/>
      </c>
      <c r="F292" s="33">
        <f>IF(J291&lt;=0,0,ROUND(J291*(1+'Your debts'!$D$6/1200),2))</f>
        <v/>
      </c>
      <c r="G292" s="33">
        <f>IF(F292&lt;=0,0,MIN('Your debts'!$E$6,F292))</f>
        <v/>
      </c>
      <c r="H292" s="33">
        <f>F292-G292</f>
        <v/>
      </c>
      <c r="I292" s="33">
        <f>IF('Your debts'!$F$6="",0,MIN(H292,MAX(0,MAX(0,'Your debts'!$C$19-(G292+L292+Q292+V292+AA292+AF292+AK292+AP292+AU292+AZ292))-(IF(AND('Your debts'!$F$7&lt;&gt;"",'Your debts'!$F$6&lt;&gt;"",'Your debts'!$F$7&lt;'Your debts'!$F$6),M292,0)+IF(AND('Your debts'!$F$8&lt;&gt;"",'Your debts'!$F$6&lt;&gt;"",'Your debts'!$F$8&lt;'Your debts'!$F$6),R292,0)+IF(AND('Your debts'!$F$9&lt;&gt;"",'Your debts'!$F$6&lt;&gt;"",'Your debts'!$F$9&lt;'Your debts'!$F$6),W292,0)+IF(AND('Your debts'!$F$10&lt;&gt;"",'Your debts'!$F$6&lt;&gt;"",'Your debts'!$F$10&lt;'Your debts'!$F$6),AB292,0)+IF(AND('Your debts'!$F$11&lt;&gt;"",'Your debts'!$F$6&lt;&gt;"",'Your debts'!$F$11&lt;'Your debts'!$F$6),AG292,0)+IF(AND('Your debts'!$F$12&lt;&gt;"",'Your debts'!$F$6&lt;&gt;"",'Your debts'!$F$12&lt;'Your debts'!$F$6),AL292,0)+IF(AND('Your debts'!$F$13&lt;&gt;"",'Your debts'!$F$6&lt;&gt;"",'Your debts'!$F$13&lt;'Your debts'!$F$6),AQ292,0)+IF(AND('Your debts'!$F$14&lt;&gt;"",'Your debts'!$F$6&lt;&gt;"",'Your debts'!$F$14&lt;'Your debts'!$F$6),AV292,0)+IF(AND('Your debts'!$F$15&lt;&gt;"",'Your debts'!$F$6&lt;&gt;"",'Your debts'!$F$15&lt;'Your debts'!$F$6),BA292,0)))))</f>
        <v/>
      </c>
      <c r="J292" s="33">
        <f>H292-I292</f>
        <v/>
      </c>
      <c r="K292" s="33">
        <f>IF(O291&lt;=0,0,ROUND(O291*(1+'Your debts'!$D$7/1200),2))</f>
        <v/>
      </c>
      <c r="L292" s="33">
        <f>IF(K292&lt;=0,0,MIN('Your debts'!$E$7,K292))</f>
        <v/>
      </c>
      <c r="M292" s="33">
        <f>K292-L292</f>
        <v/>
      </c>
      <c r="N292" s="33">
        <f>IF('Your debts'!$F$7="",0,MIN(M292,MAX(0,MAX(0,'Your debts'!$C$19-(G292+L292+Q292+V292+AA292+AF292+AK292+AP292+AU292+AZ292))-(IF(AND('Your debts'!$F$6&lt;&gt;"",'Your debts'!$F$7&lt;&gt;"",'Your debts'!$F$6&lt;'Your debts'!$F$7),H292,0)+IF(AND('Your debts'!$F$8&lt;&gt;"",'Your debts'!$F$7&lt;&gt;"",'Your debts'!$F$8&lt;'Your debts'!$F$7),R292,0)+IF(AND('Your debts'!$F$9&lt;&gt;"",'Your debts'!$F$7&lt;&gt;"",'Your debts'!$F$9&lt;'Your debts'!$F$7),W292,0)+IF(AND('Your debts'!$F$10&lt;&gt;"",'Your debts'!$F$7&lt;&gt;"",'Your debts'!$F$10&lt;'Your debts'!$F$7),AB292,0)+IF(AND('Your debts'!$F$11&lt;&gt;"",'Your debts'!$F$7&lt;&gt;"",'Your debts'!$F$11&lt;'Your debts'!$F$7),AG292,0)+IF(AND('Your debts'!$F$12&lt;&gt;"",'Your debts'!$F$7&lt;&gt;"",'Your debts'!$F$12&lt;'Your debts'!$F$7),AL292,0)+IF(AND('Your debts'!$F$13&lt;&gt;"",'Your debts'!$F$7&lt;&gt;"",'Your debts'!$F$13&lt;'Your debts'!$F$7),AQ292,0)+IF(AND('Your debts'!$F$14&lt;&gt;"",'Your debts'!$F$7&lt;&gt;"",'Your debts'!$F$14&lt;'Your debts'!$F$7),AV292,0)+IF(AND('Your debts'!$F$15&lt;&gt;"",'Your debts'!$F$7&lt;&gt;"",'Your debts'!$F$15&lt;'Your debts'!$F$7),BA292,0)))))</f>
        <v/>
      </c>
      <c r="O292" s="33">
        <f>M292-N292</f>
        <v/>
      </c>
      <c r="P292" s="33">
        <f>IF(T291&lt;=0,0,ROUND(T291*(1+'Your debts'!$D$8/1200),2))</f>
        <v/>
      </c>
      <c r="Q292" s="33">
        <f>IF(P292&lt;=0,0,MIN('Your debts'!$E$8,P292))</f>
        <v/>
      </c>
      <c r="R292" s="33">
        <f>P292-Q292</f>
        <v/>
      </c>
      <c r="S292" s="33">
        <f>IF('Your debts'!$F$8="",0,MIN(R292,MAX(0,MAX(0,'Your debts'!$C$19-(G292+L292+Q292+V292+AA292+AF292+AK292+AP292+AU292+AZ292))-(IF(AND('Your debts'!$F$6&lt;&gt;"",'Your debts'!$F$8&lt;&gt;"",'Your debts'!$F$6&lt;'Your debts'!$F$8),H292,0)+IF(AND('Your debts'!$F$7&lt;&gt;"",'Your debts'!$F$8&lt;&gt;"",'Your debts'!$F$7&lt;'Your debts'!$F$8),M292,0)+IF(AND('Your debts'!$F$9&lt;&gt;"",'Your debts'!$F$8&lt;&gt;"",'Your debts'!$F$9&lt;'Your debts'!$F$8),W292,0)+IF(AND('Your debts'!$F$10&lt;&gt;"",'Your debts'!$F$8&lt;&gt;"",'Your debts'!$F$10&lt;'Your debts'!$F$8),AB292,0)+IF(AND('Your debts'!$F$11&lt;&gt;"",'Your debts'!$F$8&lt;&gt;"",'Your debts'!$F$11&lt;'Your debts'!$F$8),AG292,0)+IF(AND('Your debts'!$F$12&lt;&gt;"",'Your debts'!$F$8&lt;&gt;"",'Your debts'!$F$12&lt;'Your debts'!$F$8),AL292,0)+IF(AND('Your debts'!$F$13&lt;&gt;"",'Your debts'!$F$8&lt;&gt;"",'Your debts'!$F$13&lt;'Your debts'!$F$8),AQ292,0)+IF(AND('Your debts'!$F$14&lt;&gt;"",'Your debts'!$F$8&lt;&gt;"",'Your debts'!$F$14&lt;'Your debts'!$F$8),AV292,0)+IF(AND('Your debts'!$F$15&lt;&gt;"",'Your debts'!$F$8&lt;&gt;"",'Your debts'!$F$15&lt;'Your debts'!$F$8),BA292,0)))))</f>
        <v/>
      </c>
      <c r="T292" s="33">
        <f>R292-S292</f>
        <v/>
      </c>
      <c r="U292" s="33">
        <f>IF(Y291&lt;=0,0,ROUND(Y291*(1+'Your debts'!$D$9/1200),2))</f>
        <v/>
      </c>
      <c r="V292" s="33">
        <f>IF(U292&lt;=0,0,MIN('Your debts'!$E$9,U292))</f>
        <v/>
      </c>
      <c r="W292" s="33">
        <f>U292-V292</f>
        <v/>
      </c>
      <c r="X292" s="33">
        <f>IF('Your debts'!$F$9="",0,MIN(W292,MAX(0,MAX(0,'Your debts'!$C$19-(G292+L292+Q292+V292+AA292+AF292+AK292+AP292+AU292+AZ292))-(IF(AND('Your debts'!$F$6&lt;&gt;"",'Your debts'!$F$9&lt;&gt;"",'Your debts'!$F$6&lt;'Your debts'!$F$9),H292,0)+IF(AND('Your debts'!$F$7&lt;&gt;"",'Your debts'!$F$9&lt;&gt;"",'Your debts'!$F$7&lt;'Your debts'!$F$9),M292,0)+IF(AND('Your debts'!$F$8&lt;&gt;"",'Your debts'!$F$9&lt;&gt;"",'Your debts'!$F$8&lt;'Your debts'!$F$9),R292,0)+IF(AND('Your debts'!$F$10&lt;&gt;"",'Your debts'!$F$9&lt;&gt;"",'Your debts'!$F$10&lt;'Your debts'!$F$9),AB292,0)+IF(AND('Your debts'!$F$11&lt;&gt;"",'Your debts'!$F$9&lt;&gt;"",'Your debts'!$F$11&lt;'Your debts'!$F$9),AG292,0)+IF(AND('Your debts'!$F$12&lt;&gt;"",'Your debts'!$F$9&lt;&gt;"",'Your debts'!$F$12&lt;'Your debts'!$F$9),AL292,0)+IF(AND('Your debts'!$F$13&lt;&gt;"",'Your debts'!$F$9&lt;&gt;"",'Your debts'!$F$13&lt;'Your debts'!$F$9),AQ292,0)+IF(AND('Your debts'!$F$14&lt;&gt;"",'Your debts'!$F$9&lt;&gt;"",'Your debts'!$F$14&lt;'Your debts'!$F$9),AV292,0)+IF(AND('Your debts'!$F$15&lt;&gt;"",'Your debts'!$F$9&lt;&gt;"",'Your debts'!$F$15&lt;'Your debts'!$F$9),BA292,0)))))</f>
        <v/>
      </c>
      <c r="Y292" s="33">
        <f>W292-X292</f>
        <v/>
      </c>
      <c r="Z292" s="33">
        <f>IF(AD291&lt;=0,0,ROUND(AD291*(1+'Your debts'!$D$10/1200),2))</f>
        <v/>
      </c>
      <c r="AA292" s="33">
        <f>IF(Z292&lt;=0,0,MIN('Your debts'!$E$10,Z292))</f>
        <v/>
      </c>
      <c r="AB292" s="33">
        <f>Z292-AA292</f>
        <v/>
      </c>
      <c r="AC292" s="33">
        <f>IF('Your debts'!$F$10="",0,MIN(AB292,MAX(0,MAX(0,'Your debts'!$C$19-(G292+L292+Q292+V292+AA292+AF292+AK292+AP292+AU292+AZ292))-(IF(AND('Your debts'!$F$6&lt;&gt;"",'Your debts'!$F$10&lt;&gt;"",'Your debts'!$F$6&lt;'Your debts'!$F$10),H292,0)+IF(AND('Your debts'!$F$7&lt;&gt;"",'Your debts'!$F$10&lt;&gt;"",'Your debts'!$F$7&lt;'Your debts'!$F$10),M292,0)+IF(AND('Your debts'!$F$8&lt;&gt;"",'Your debts'!$F$10&lt;&gt;"",'Your debts'!$F$8&lt;'Your debts'!$F$10),R292,0)+IF(AND('Your debts'!$F$9&lt;&gt;"",'Your debts'!$F$10&lt;&gt;"",'Your debts'!$F$9&lt;'Your debts'!$F$10),W292,0)+IF(AND('Your debts'!$F$11&lt;&gt;"",'Your debts'!$F$10&lt;&gt;"",'Your debts'!$F$11&lt;'Your debts'!$F$10),AG292,0)+IF(AND('Your debts'!$F$12&lt;&gt;"",'Your debts'!$F$10&lt;&gt;"",'Your debts'!$F$12&lt;'Your debts'!$F$10),AL292,0)+IF(AND('Your debts'!$F$13&lt;&gt;"",'Your debts'!$F$10&lt;&gt;"",'Your debts'!$F$13&lt;'Your debts'!$F$10),AQ292,0)+IF(AND('Your debts'!$F$14&lt;&gt;"",'Your debts'!$F$10&lt;&gt;"",'Your debts'!$F$14&lt;'Your debts'!$F$10),AV292,0)+IF(AND('Your debts'!$F$15&lt;&gt;"",'Your debts'!$F$10&lt;&gt;"",'Your debts'!$F$15&lt;'Your debts'!$F$10),BA292,0)))))</f>
        <v/>
      </c>
      <c r="AD292" s="33">
        <f>AB292-AC292</f>
        <v/>
      </c>
      <c r="AE292" s="33">
        <f>IF(AI291&lt;=0,0,ROUND(AI291*(1+'Your debts'!$D$11/1200),2))</f>
        <v/>
      </c>
      <c r="AF292" s="33">
        <f>IF(AE292&lt;=0,0,MIN('Your debts'!$E$11,AE292))</f>
        <v/>
      </c>
      <c r="AG292" s="33">
        <f>AE292-AF292</f>
        <v/>
      </c>
      <c r="AH292" s="33">
        <f>IF('Your debts'!$F$11="",0,MIN(AG292,MAX(0,MAX(0,'Your debts'!$C$19-(G292+L292+Q292+V292+AA292+AF292+AK292+AP292+AU292+AZ292))-(IF(AND('Your debts'!$F$6&lt;&gt;"",'Your debts'!$F$11&lt;&gt;"",'Your debts'!$F$6&lt;'Your debts'!$F$11),H292,0)+IF(AND('Your debts'!$F$7&lt;&gt;"",'Your debts'!$F$11&lt;&gt;"",'Your debts'!$F$7&lt;'Your debts'!$F$11),M292,0)+IF(AND('Your debts'!$F$8&lt;&gt;"",'Your debts'!$F$11&lt;&gt;"",'Your debts'!$F$8&lt;'Your debts'!$F$11),R292,0)+IF(AND('Your debts'!$F$9&lt;&gt;"",'Your debts'!$F$11&lt;&gt;"",'Your debts'!$F$9&lt;'Your debts'!$F$11),W292,0)+IF(AND('Your debts'!$F$10&lt;&gt;"",'Your debts'!$F$11&lt;&gt;"",'Your debts'!$F$10&lt;'Your debts'!$F$11),AB292,0)+IF(AND('Your debts'!$F$12&lt;&gt;"",'Your debts'!$F$11&lt;&gt;"",'Your debts'!$F$12&lt;'Your debts'!$F$11),AL292,0)+IF(AND('Your debts'!$F$13&lt;&gt;"",'Your debts'!$F$11&lt;&gt;"",'Your debts'!$F$13&lt;'Your debts'!$F$11),AQ292,0)+IF(AND('Your debts'!$F$14&lt;&gt;"",'Your debts'!$F$11&lt;&gt;"",'Your debts'!$F$14&lt;'Your debts'!$F$11),AV292,0)+IF(AND('Your debts'!$F$15&lt;&gt;"",'Your debts'!$F$11&lt;&gt;"",'Your debts'!$F$15&lt;'Your debts'!$F$11),BA292,0)))))</f>
        <v/>
      </c>
      <c r="AI292" s="33">
        <f>AG292-AH292</f>
        <v/>
      </c>
      <c r="AJ292" s="33">
        <f>IF(AN291&lt;=0,0,ROUND(AN291*(1+'Your debts'!$D$12/1200),2))</f>
        <v/>
      </c>
      <c r="AK292" s="33">
        <f>IF(AJ292&lt;=0,0,MIN('Your debts'!$E$12,AJ292))</f>
        <v/>
      </c>
      <c r="AL292" s="33">
        <f>AJ292-AK292</f>
        <v/>
      </c>
      <c r="AM292" s="33">
        <f>IF('Your debts'!$F$12="",0,MIN(AL292,MAX(0,MAX(0,'Your debts'!$C$19-(G292+L292+Q292+V292+AA292+AF292+AK292+AP292+AU292+AZ292))-(IF(AND('Your debts'!$F$6&lt;&gt;"",'Your debts'!$F$12&lt;&gt;"",'Your debts'!$F$6&lt;'Your debts'!$F$12),H292,0)+IF(AND('Your debts'!$F$7&lt;&gt;"",'Your debts'!$F$12&lt;&gt;"",'Your debts'!$F$7&lt;'Your debts'!$F$12),M292,0)+IF(AND('Your debts'!$F$8&lt;&gt;"",'Your debts'!$F$12&lt;&gt;"",'Your debts'!$F$8&lt;'Your debts'!$F$12),R292,0)+IF(AND('Your debts'!$F$9&lt;&gt;"",'Your debts'!$F$12&lt;&gt;"",'Your debts'!$F$9&lt;'Your debts'!$F$12),W292,0)+IF(AND('Your debts'!$F$10&lt;&gt;"",'Your debts'!$F$12&lt;&gt;"",'Your debts'!$F$10&lt;'Your debts'!$F$12),AB292,0)+IF(AND('Your debts'!$F$11&lt;&gt;"",'Your debts'!$F$12&lt;&gt;"",'Your debts'!$F$11&lt;'Your debts'!$F$12),AG292,0)+IF(AND('Your debts'!$F$13&lt;&gt;"",'Your debts'!$F$12&lt;&gt;"",'Your debts'!$F$13&lt;'Your debts'!$F$12),AQ292,0)+IF(AND('Your debts'!$F$14&lt;&gt;"",'Your debts'!$F$12&lt;&gt;"",'Your debts'!$F$14&lt;'Your debts'!$F$12),AV292,0)+IF(AND('Your debts'!$F$15&lt;&gt;"",'Your debts'!$F$12&lt;&gt;"",'Your debts'!$F$15&lt;'Your debts'!$F$12),BA292,0)))))</f>
        <v/>
      </c>
      <c r="AN292" s="33">
        <f>AL292-AM292</f>
        <v/>
      </c>
      <c r="AO292" s="33">
        <f>IF(AS291&lt;=0,0,ROUND(AS291*(1+'Your debts'!$D$13/1200),2))</f>
        <v/>
      </c>
      <c r="AP292" s="33">
        <f>IF(AO292&lt;=0,0,MIN('Your debts'!$E$13,AO292))</f>
        <v/>
      </c>
      <c r="AQ292" s="33">
        <f>AO292-AP292</f>
        <v/>
      </c>
      <c r="AR292" s="33">
        <f>IF('Your debts'!$F$13="",0,MIN(AQ292,MAX(0,MAX(0,'Your debts'!$C$19-(G292+L292+Q292+V292+AA292+AF292+AK292+AP292+AU292+AZ292))-(IF(AND('Your debts'!$F$6&lt;&gt;"",'Your debts'!$F$13&lt;&gt;"",'Your debts'!$F$6&lt;'Your debts'!$F$13),H292,0)+IF(AND('Your debts'!$F$7&lt;&gt;"",'Your debts'!$F$13&lt;&gt;"",'Your debts'!$F$7&lt;'Your debts'!$F$13),M292,0)+IF(AND('Your debts'!$F$8&lt;&gt;"",'Your debts'!$F$13&lt;&gt;"",'Your debts'!$F$8&lt;'Your debts'!$F$13),R292,0)+IF(AND('Your debts'!$F$9&lt;&gt;"",'Your debts'!$F$13&lt;&gt;"",'Your debts'!$F$9&lt;'Your debts'!$F$13),W292,0)+IF(AND('Your debts'!$F$10&lt;&gt;"",'Your debts'!$F$13&lt;&gt;"",'Your debts'!$F$10&lt;'Your debts'!$F$13),AB292,0)+IF(AND('Your debts'!$F$11&lt;&gt;"",'Your debts'!$F$13&lt;&gt;"",'Your debts'!$F$11&lt;'Your debts'!$F$13),AG292,0)+IF(AND('Your debts'!$F$12&lt;&gt;"",'Your debts'!$F$13&lt;&gt;"",'Your debts'!$F$12&lt;'Your debts'!$F$13),AL292,0)+IF(AND('Your debts'!$F$14&lt;&gt;"",'Your debts'!$F$13&lt;&gt;"",'Your debts'!$F$14&lt;'Your debts'!$F$13),AV292,0)+IF(AND('Your debts'!$F$15&lt;&gt;"",'Your debts'!$F$13&lt;&gt;"",'Your debts'!$F$15&lt;'Your debts'!$F$13),BA292,0)))))</f>
        <v/>
      </c>
      <c r="AS292" s="33">
        <f>AQ292-AR292</f>
        <v/>
      </c>
      <c r="AT292" s="33">
        <f>IF(AX291&lt;=0,0,ROUND(AX291*(1+'Your debts'!$D$14/1200),2))</f>
        <v/>
      </c>
      <c r="AU292" s="33">
        <f>IF(AT292&lt;=0,0,MIN('Your debts'!$E$14,AT292))</f>
        <v/>
      </c>
      <c r="AV292" s="33">
        <f>AT292-AU292</f>
        <v/>
      </c>
      <c r="AW292" s="33">
        <f>IF('Your debts'!$F$14="",0,MIN(AV292,MAX(0,MAX(0,'Your debts'!$C$19-(G292+L292+Q292+V292+AA292+AF292+AK292+AP292+AU292+AZ292))-(IF(AND('Your debts'!$F$6&lt;&gt;"",'Your debts'!$F$14&lt;&gt;"",'Your debts'!$F$6&lt;'Your debts'!$F$14),H292,0)+IF(AND('Your debts'!$F$7&lt;&gt;"",'Your debts'!$F$14&lt;&gt;"",'Your debts'!$F$7&lt;'Your debts'!$F$14),M292,0)+IF(AND('Your debts'!$F$8&lt;&gt;"",'Your debts'!$F$14&lt;&gt;"",'Your debts'!$F$8&lt;'Your debts'!$F$14),R292,0)+IF(AND('Your debts'!$F$9&lt;&gt;"",'Your debts'!$F$14&lt;&gt;"",'Your debts'!$F$9&lt;'Your debts'!$F$14),W292,0)+IF(AND('Your debts'!$F$10&lt;&gt;"",'Your debts'!$F$14&lt;&gt;"",'Your debts'!$F$10&lt;'Your debts'!$F$14),AB292,0)+IF(AND('Your debts'!$F$11&lt;&gt;"",'Your debts'!$F$14&lt;&gt;"",'Your debts'!$F$11&lt;'Your debts'!$F$14),AG292,0)+IF(AND('Your debts'!$F$12&lt;&gt;"",'Your debts'!$F$14&lt;&gt;"",'Your debts'!$F$12&lt;'Your debts'!$F$14),AL292,0)+IF(AND('Your debts'!$F$13&lt;&gt;"",'Your debts'!$F$14&lt;&gt;"",'Your debts'!$F$13&lt;'Your debts'!$F$14),AQ292,0)+IF(AND('Your debts'!$F$15&lt;&gt;"",'Your debts'!$F$14&lt;&gt;"",'Your debts'!$F$15&lt;'Your debts'!$F$14),BA292,0)))))</f>
        <v/>
      </c>
      <c r="AX292" s="33">
        <f>AV292-AW292</f>
        <v/>
      </c>
      <c r="AY292" s="33">
        <f>IF(BC291&lt;=0,0,ROUND(BC291*(1+'Your debts'!$D$15/1200),2))</f>
        <v/>
      </c>
      <c r="AZ292" s="33">
        <f>IF(AY292&lt;=0,0,MIN('Your debts'!$E$15,AY292))</f>
        <v/>
      </c>
      <c r="BA292" s="33">
        <f>AY292-AZ292</f>
        <v/>
      </c>
      <c r="BB292" s="33">
        <f>IF('Your debts'!$F$15="",0,MIN(BA292,MAX(0,MAX(0,'Your debts'!$C$19-(G292+L292+Q292+V292+AA292+AF292+AK292+AP292+AU292+AZ292))-(IF(AND('Your debts'!$F$6&lt;&gt;"",'Your debts'!$F$15&lt;&gt;"",'Your debts'!$F$6&lt;'Your debts'!$F$15),H292,0)+IF(AND('Your debts'!$F$7&lt;&gt;"",'Your debts'!$F$15&lt;&gt;"",'Your debts'!$F$7&lt;'Your debts'!$F$15),M292,0)+IF(AND('Your debts'!$F$8&lt;&gt;"",'Your debts'!$F$15&lt;&gt;"",'Your debts'!$F$8&lt;'Your debts'!$F$15),R292,0)+IF(AND('Your debts'!$F$9&lt;&gt;"",'Your debts'!$F$15&lt;&gt;"",'Your debts'!$F$9&lt;'Your debts'!$F$15),W292,0)+IF(AND('Your debts'!$F$10&lt;&gt;"",'Your debts'!$F$15&lt;&gt;"",'Your debts'!$F$10&lt;'Your debts'!$F$15),AB292,0)+IF(AND('Your debts'!$F$11&lt;&gt;"",'Your debts'!$F$15&lt;&gt;"",'Your debts'!$F$11&lt;'Your debts'!$F$15),AG292,0)+IF(AND('Your debts'!$F$12&lt;&gt;"",'Your debts'!$F$15&lt;&gt;"",'Your debts'!$F$12&lt;'Your debts'!$F$15),AL292,0)+IF(AND('Your debts'!$F$13&lt;&gt;"",'Your debts'!$F$15&lt;&gt;"",'Your debts'!$F$13&lt;'Your debts'!$F$15),AQ292,0)+IF(AND('Your debts'!$F$14&lt;&gt;"",'Your debts'!$F$15&lt;&gt;"",'Your debts'!$F$14&lt;'Your debts'!$F$15),AV292,0)))))</f>
        <v/>
      </c>
      <c r="BC292" s="33">
        <f>BA292-BB292</f>
        <v/>
      </c>
    </row>
    <row r="293">
      <c r="A293" s="30" t="n">
        <v>278</v>
      </c>
      <c r="B293" s="31">
        <f>EDATE($B$15,278)</f>
        <v/>
      </c>
      <c r="C293" s="32">
        <f>IF(J292&lt;=0,0,F293-J292)+IF(O292&lt;=0,0,K293-O292)+IF(T292&lt;=0,0,P293-T292)+IF(Y292&lt;=0,0,U293-Y292)+IF(AD292&lt;=0,0,Z293-AD292)+IF(AI292&lt;=0,0,AE293-AI292)+IF(AN292&lt;=0,0,AJ293-AN292)+IF(AS292&lt;=0,0,AO293-AS292)+IF(AX292&lt;=0,0,AT293-AX292)+IF(BC292&lt;=0,0,AY293-BC292)</f>
        <v/>
      </c>
      <c r="D293" s="32">
        <f>G293+I293+L293+N293+Q293+S293+V293+X293+AA293+AC293+AF293+AH293+AK293+AM293+AP293+AR293+AU293+AW293+AZ293+BB293</f>
        <v/>
      </c>
      <c r="E293" s="32">
        <f>J293+O293+T293+Y293+AD293+AI293+AN293+AS293+AX293+BC293</f>
        <v/>
      </c>
      <c r="F293" s="33">
        <f>IF(J292&lt;=0,0,ROUND(J292*(1+'Your debts'!$D$6/1200),2))</f>
        <v/>
      </c>
      <c r="G293" s="33">
        <f>IF(F293&lt;=0,0,MIN('Your debts'!$E$6,F293))</f>
        <v/>
      </c>
      <c r="H293" s="33">
        <f>F293-G293</f>
        <v/>
      </c>
      <c r="I293" s="33">
        <f>IF('Your debts'!$F$6="",0,MIN(H293,MAX(0,MAX(0,'Your debts'!$C$19-(G293+L293+Q293+V293+AA293+AF293+AK293+AP293+AU293+AZ293))-(IF(AND('Your debts'!$F$7&lt;&gt;"",'Your debts'!$F$6&lt;&gt;"",'Your debts'!$F$7&lt;'Your debts'!$F$6),M293,0)+IF(AND('Your debts'!$F$8&lt;&gt;"",'Your debts'!$F$6&lt;&gt;"",'Your debts'!$F$8&lt;'Your debts'!$F$6),R293,0)+IF(AND('Your debts'!$F$9&lt;&gt;"",'Your debts'!$F$6&lt;&gt;"",'Your debts'!$F$9&lt;'Your debts'!$F$6),W293,0)+IF(AND('Your debts'!$F$10&lt;&gt;"",'Your debts'!$F$6&lt;&gt;"",'Your debts'!$F$10&lt;'Your debts'!$F$6),AB293,0)+IF(AND('Your debts'!$F$11&lt;&gt;"",'Your debts'!$F$6&lt;&gt;"",'Your debts'!$F$11&lt;'Your debts'!$F$6),AG293,0)+IF(AND('Your debts'!$F$12&lt;&gt;"",'Your debts'!$F$6&lt;&gt;"",'Your debts'!$F$12&lt;'Your debts'!$F$6),AL293,0)+IF(AND('Your debts'!$F$13&lt;&gt;"",'Your debts'!$F$6&lt;&gt;"",'Your debts'!$F$13&lt;'Your debts'!$F$6),AQ293,0)+IF(AND('Your debts'!$F$14&lt;&gt;"",'Your debts'!$F$6&lt;&gt;"",'Your debts'!$F$14&lt;'Your debts'!$F$6),AV293,0)+IF(AND('Your debts'!$F$15&lt;&gt;"",'Your debts'!$F$6&lt;&gt;"",'Your debts'!$F$15&lt;'Your debts'!$F$6),BA293,0)))))</f>
        <v/>
      </c>
      <c r="J293" s="33">
        <f>H293-I293</f>
        <v/>
      </c>
      <c r="K293" s="33">
        <f>IF(O292&lt;=0,0,ROUND(O292*(1+'Your debts'!$D$7/1200),2))</f>
        <v/>
      </c>
      <c r="L293" s="33">
        <f>IF(K293&lt;=0,0,MIN('Your debts'!$E$7,K293))</f>
        <v/>
      </c>
      <c r="M293" s="33">
        <f>K293-L293</f>
        <v/>
      </c>
      <c r="N293" s="33">
        <f>IF('Your debts'!$F$7="",0,MIN(M293,MAX(0,MAX(0,'Your debts'!$C$19-(G293+L293+Q293+V293+AA293+AF293+AK293+AP293+AU293+AZ293))-(IF(AND('Your debts'!$F$6&lt;&gt;"",'Your debts'!$F$7&lt;&gt;"",'Your debts'!$F$6&lt;'Your debts'!$F$7),H293,0)+IF(AND('Your debts'!$F$8&lt;&gt;"",'Your debts'!$F$7&lt;&gt;"",'Your debts'!$F$8&lt;'Your debts'!$F$7),R293,0)+IF(AND('Your debts'!$F$9&lt;&gt;"",'Your debts'!$F$7&lt;&gt;"",'Your debts'!$F$9&lt;'Your debts'!$F$7),W293,0)+IF(AND('Your debts'!$F$10&lt;&gt;"",'Your debts'!$F$7&lt;&gt;"",'Your debts'!$F$10&lt;'Your debts'!$F$7),AB293,0)+IF(AND('Your debts'!$F$11&lt;&gt;"",'Your debts'!$F$7&lt;&gt;"",'Your debts'!$F$11&lt;'Your debts'!$F$7),AG293,0)+IF(AND('Your debts'!$F$12&lt;&gt;"",'Your debts'!$F$7&lt;&gt;"",'Your debts'!$F$12&lt;'Your debts'!$F$7),AL293,0)+IF(AND('Your debts'!$F$13&lt;&gt;"",'Your debts'!$F$7&lt;&gt;"",'Your debts'!$F$13&lt;'Your debts'!$F$7),AQ293,0)+IF(AND('Your debts'!$F$14&lt;&gt;"",'Your debts'!$F$7&lt;&gt;"",'Your debts'!$F$14&lt;'Your debts'!$F$7),AV293,0)+IF(AND('Your debts'!$F$15&lt;&gt;"",'Your debts'!$F$7&lt;&gt;"",'Your debts'!$F$15&lt;'Your debts'!$F$7),BA293,0)))))</f>
        <v/>
      </c>
      <c r="O293" s="33">
        <f>M293-N293</f>
        <v/>
      </c>
      <c r="P293" s="33">
        <f>IF(T292&lt;=0,0,ROUND(T292*(1+'Your debts'!$D$8/1200),2))</f>
        <v/>
      </c>
      <c r="Q293" s="33">
        <f>IF(P293&lt;=0,0,MIN('Your debts'!$E$8,P293))</f>
        <v/>
      </c>
      <c r="R293" s="33">
        <f>P293-Q293</f>
        <v/>
      </c>
      <c r="S293" s="33">
        <f>IF('Your debts'!$F$8="",0,MIN(R293,MAX(0,MAX(0,'Your debts'!$C$19-(G293+L293+Q293+V293+AA293+AF293+AK293+AP293+AU293+AZ293))-(IF(AND('Your debts'!$F$6&lt;&gt;"",'Your debts'!$F$8&lt;&gt;"",'Your debts'!$F$6&lt;'Your debts'!$F$8),H293,0)+IF(AND('Your debts'!$F$7&lt;&gt;"",'Your debts'!$F$8&lt;&gt;"",'Your debts'!$F$7&lt;'Your debts'!$F$8),M293,0)+IF(AND('Your debts'!$F$9&lt;&gt;"",'Your debts'!$F$8&lt;&gt;"",'Your debts'!$F$9&lt;'Your debts'!$F$8),W293,0)+IF(AND('Your debts'!$F$10&lt;&gt;"",'Your debts'!$F$8&lt;&gt;"",'Your debts'!$F$10&lt;'Your debts'!$F$8),AB293,0)+IF(AND('Your debts'!$F$11&lt;&gt;"",'Your debts'!$F$8&lt;&gt;"",'Your debts'!$F$11&lt;'Your debts'!$F$8),AG293,0)+IF(AND('Your debts'!$F$12&lt;&gt;"",'Your debts'!$F$8&lt;&gt;"",'Your debts'!$F$12&lt;'Your debts'!$F$8),AL293,0)+IF(AND('Your debts'!$F$13&lt;&gt;"",'Your debts'!$F$8&lt;&gt;"",'Your debts'!$F$13&lt;'Your debts'!$F$8),AQ293,0)+IF(AND('Your debts'!$F$14&lt;&gt;"",'Your debts'!$F$8&lt;&gt;"",'Your debts'!$F$14&lt;'Your debts'!$F$8),AV293,0)+IF(AND('Your debts'!$F$15&lt;&gt;"",'Your debts'!$F$8&lt;&gt;"",'Your debts'!$F$15&lt;'Your debts'!$F$8),BA293,0)))))</f>
        <v/>
      </c>
      <c r="T293" s="33">
        <f>R293-S293</f>
        <v/>
      </c>
      <c r="U293" s="33">
        <f>IF(Y292&lt;=0,0,ROUND(Y292*(1+'Your debts'!$D$9/1200),2))</f>
        <v/>
      </c>
      <c r="V293" s="33">
        <f>IF(U293&lt;=0,0,MIN('Your debts'!$E$9,U293))</f>
        <v/>
      </c>
      <c r="W293" s="33">
        <f>U293-V293</f>
        <v/>
      </c>
      <c r="X293" s="33">
        <f>IF('Your debts'!$F$9="",0,MIN(W293,MAX(0,MAX(0,'Your debts'!$C$19-(G293+L293+Q293+V293+AA293+AF293+AK293+AP293+AU293+AZ293))-(IF(AND('Your debts'!$F$6&lt;&gt;"",'Your debts'!$F$9&lt;&gt;"",'Your debts'!$F$6&lt;'Your debts'!$F$9),H293,0)+IF(AND('Your debts'!$F$7&lt;&gt;"",'Your debts'!$F$9&lt;&gt;"",'Your debts'!$F$7&lt;'Your debts'!$F$9),M293,0)+IF(AND('Your debts'!$F$8&lt;&gt;"",'Your debts'!$F$9&lt;&gt;"",'Your debts'!$F$8&lt;'Your debts'!$F$9),R293,0)+IF(AND('Your debts'!$F$10&lt;&gt;"",'Your debts'!$F$9&lt;&gt;"",'Your debts'!$F$10&lt;'Your debts'!$F$9),AB293,0)+IF(AND('Your debts'!$F$11&lt;&gt;"",'Your debts'!$F$9&lt;&gt;"",'Your debts'!$F$11&lt;'Your debts'!$F$9),AG293,0)+IF(AND('Your debts'!$F$12&lt;&gt;"",'Your debts'!$F$9&lt;&gt;"",'Your debts'!$F$12&lt;'Your debts'!$F$9),AL293,0)+IF(AND('Your debts'!$F$13&lt;&gt;"",'Your debts'!$F$9&lt;&gt;"",'Your debts'!$F$13&lt;'Your debts'!$F$9),AQ293,0)+IF(AND('Your debts'!$F$14&lt;&gt;"",'Your debts'!$F$9&lt;&gt;"",'Your debts'!$F$14&lt;'Your debts'!$F$9),AV293,0)+IF(AND('Your debts'!$F$15&lt;&gt;"",'Your debts'!$F$9&lt;&gt;"",'Your debts'!$F$15&lt;'Your debts'!$F$9),BA293,0)))))</f>
        <v/>
      </c>
      <c r="Y293" s="33">
        <f>W293-X293</f>
        <v/>
      </c>
      <c r="Z293" s="33">
        <f>IF(AD292&lt;=0,0,ROUND(AD292*(1+'Your debts'!$D$10/1200),2))</f>
        <v/>
      </c>
      <c r="AA293" s="33">
        <f>IF(Z293&lt;=0,0,MIN('Your debts'!$E$10,Z293))</f>
        <v/>
      </c>
      <c r="AB293" s="33">
        <f>Z293-AA293</f>
        <v/>
      </c>
      <c r="AC293" s="33">
        <f>IF('Your debts'!$F$10="",0,MIN(AB293,MAX(0,MAX(0,'Your debts'!$C$19-(G293+L293+Q293+V293+AA293+AF293+AK293+AP293+AU293+AZ293))-(IF(AND('Your debts'!$F$6&lt;&gt;"",'Your debts'!$F$10&lt;&gt;"",'Your debts'!$F$6&lt;'Your debts'!$F$10),H293,0)+IF(AND('Your debts'!$F$7&lt;&gt;"",'Your debts'!$F$10&lt;&gt;"",'Your debts'!$F$7&lt;'Your debts'!$F$10),M293,0)+IF(AND('Your debts'!$F$8&lt;&gt;"",'Your debts'!$F$10&lt;&gt;"",'Your debts'!$F$8&lt;'Your debts'!$F$10),R293,0)+IF(AND('Your debts'!$F$9&lt;&gt;"",'Your debts'!$F$10&lt;&gt;"",'Your debts'!$F$9&lt;'Your debts'!$F$10),W293,0)+IF(AND('Your debts'!$F$11&lt;&gt;"",'Your debts'!$F$10&lt;&gt;"",'Your debts'!$F$11&lt;'Your debts'!$F$10),AG293,0)+IF(AND('Your debts'!$F$12&lt;&gt;"",'Your debts'!$F$10&lt;&gt;"",'Your debts'!$F$12&lt;'Your debts'!$F$10),AL293,0)+IF(AND('Your debts'!$F$13&lt;&gt;"",'Your debts'!$F$10&lt;&gt;"",'Your debts'!$F$13&lt;'Your debts'!$F$10),AQ293,0)+IF(AND('Your debts'!$F$14&lt;&gt;"",'Your debts'!$F$10&lt;&gt;"",'Your debts'!$F$14&lt;'Your debts'!$F$10),AV293,0)+IF(AND('Your debts'!$F$15&lt;&gt;"",'Your debts'!$F$10&lt;&gt;"",'Your debts'!$F$15&lt;'Your debts'!$F$10),BA293,0)))))</f>
        <v/>
      </c>
      <c r="AD293" s="33">
        <f>AB293-AC293</f>
        <v/>
      </c>
      <c r="AE293" s="33">
        <f>IF(AI292&lt;=0,0,ROUND(AI292*(1+'Your debts'!$D$11/1200),2))</f>
        <v/>
      </c>
      <c r="AF293" s="33">
        <f>IF(AE293&lt;=0,0,MIN('Your debts'!$E$11,AE293))</f>
        <v/>
      </c>
      <c r="AG293" s="33">
        <f>AE293-AF293</f>
        <v/>
      </c>
      <c r="AH293" s="33">
        <f>IF('Your debts'!$F$11="",0,MIN(AG293,MAX(0,MAX(0,'Your debts'!$C$19-(G293+L293+Q293+V293+AA293+AF293+AK293+AP293+AU293+AZ293))-(IF(AND('Your debts'!$F$6&lt;&gt;"",'Your debts'!$F$11&lt;&gt;"",'Your debts'!$F$6&lt;'Your debts'!$F$11),H293,0)+IF(AND('Your debts'!$F$7&lt;&gt;"",'Your debts'!$F$11&lt;&gt;"",'Your debts'!$F$7&lt;'Your debts'!$F$11),M293,0)+IF(AND('Your debts'!$F$8&lt;&gt;"",'Your debts'!$F$11&lt;&gt;"",'Your debts'!$F$8&lt;'Your debts'!$F$11),R293,0)+IF(AND('Your debts'!$F$9&lt;&gt;"",'Your debts'!$F$11&lt;&gt;"",'Your debts'!$F$9&lt;'Your debts'!$F$11),W293,0)+IF(AND('Your debts'!$F$10&lt;&gt;"",'Your debts'!$F$11&lt;&gt;"",'Your debts'!$F$10&lt;'Your debts'!$F$11),AB293,0)+IF(AND('Your debts'!$F$12&lt;&gt;"",'Your debts'!$F$11&lt;&gt;"",'Your debts'!$F$12&lt;'Your debts'!$F$11),AL293,0)+IF(AND('Your debts'!$F$13&lt;&gt;"",'Your debts'!$F$11&lt;&gt;"",'Your debts'!$F$13&lt;'Your debts'!$F$11),AQ293,0)+IF(AND('Your debts'!$F$14&lt;&gt;"",'Your debts'!$F$11&lt;&gt;"",'Your debts'!$F$14&lt;'Your debts'!$F$11),AV293,0)+IF(AND('Your debts'!$F$15&lt;&gt;"",'Your debts'!$F$11&lt;&gt;"",'Your debts'!$F$15&lt;'Your debts'!$F$11),BA293,0)))))</f>
        <v/>
      </c>
      <c r="AI293" s="33">
        <f>AG293-AH293</f>
        <v/>
      </c>
      <c r="AJ293" s="33">
        <f>IF(AN292&lt;=0,0,ROUND(AN292*(1+'Your debts'!$D$12/1200),2))</f>
        <v/>
      </c>
      <c r="AK293" s="33">
        <f>IF(AJ293&lt;=0,0,MIN('Your debts'!$E$12,AJ293))</f>
        <v/>
      </c>
      <c r="AL293" s="33">
        <f>AJ293-AK293</f>
        <v/>
      </c>
      <c r="AM293" s="33">
        <f>IF('Your debts'!$F$12="",0,MIN(AL293,MAX(0,MAX(0,'Your debts'!$C$19-(G293+L293+Q293+V293+AA293+AF293+AK293+AP293+AU293+AZ293))-(IF(AND('Your debts'!$F$6&lt;&gt;"",'Your debts'!$F$12&lt;&gt;"",'Your debts'!$F$6&lt;'Your debts'!$F$12),H293,0)+IF(AND('Your debts'!$F$7&lt;&gt;"",'Your debts'!$F$12&lt;&gt;"",'Your debts'!$F$7&lt;'Your debts'!$F$12),M293,0)+IF(AND('Your debts'!$F$8&lt;&gt;"",'Your debts'!$F$12&lt;&gt;"",'Your debts'!$F$8&lt;'Your debts'!$F$12),R293,0)+IF(AND('Your debts'!$F$9&lt;&gt;"",'Your debts'!$F$12&lt;&gt;"",'Your debts'!$F$9&lt;'Your debts'!$F$12),W293,0)+IF(AND('Your debts'!$F$10&lt;&gt;"",'Your debts'!$F$12&lt;&gt;"",'Your debts'!$F$10&lt;'Your debts'!$F$12),AB293,0)+IF(AND('Your debts'!$F$11&lt;&gt;"",'Your debts'!$F$12&lt;&gt;"",'Your debts'!$F$11&lt;'Your debts'!$F$12),AG293,0)+IF(AND('Your debts'!$F$13&lt;&gt;"",'Your debts'!$F$12&lt;&gt;"",'Your debts'!$F$13&lt;'Your debts'!$F$12),AQ293,0)+IF(AND('Your debts'!$F$14&lt;&gt;"",'Your debts'!$F$12&lt;&gt;"",'Your debts'!$F$14&lt;'Your debts'!$F$12),AV293,0)+IF(AND('Your debts'!$F$15&lt;&gt;"",'Your debts'!$F$12&lt;&gt;"",'Your debts'!$F$15&lt;'Your debts'!$F$12),BA293,0)))))</f>
        <v/>
      </c>
      <c r="AN293" s="33">
        <f>AL293-AM293</f>
        <v/>
      </c>
      <c r="AO293" s="33">
        <f>IF(AS292&lt;=0,0,ROUND(AS292*(1+'Your debts'!$D$13/1200),2))</f>
        <v/>
      </c>
      <c r="AP293" s="33">
        <f>IF(AO293&lt;=0,0,MIN('Your debts'!$E$13,AO293))</f>
        <v/>
      </c>
      <c r="AQ293" s="33">
        <f>AO293-AP293</f>
        <v/>
      </c>
      <c r="AR293" s="33">
        <f>IF('Your debts'!$F$13="",0,MIN(AQ293,MAX(0,MAX(0,'Your debts'!$C$19-(G293+L293+Q293+V293+AA293+AF293+AK293+AP293+AU293+AZ293))-(IF(AND('Your debts'!$F$6&lt;&gt;"",'Your debts'!$F$13&lt;&gt;"",'Your debts'!$F$6&lt;'Your debts'!$F$13),H293,0)+IF(AND('Your debts'!$F$7&lt;&gt;"",'Your debts'!$F$13&lt;&gt;"",'Your debts'!$F$7&lt;'Your debts'!$F$13),M293,0)+IF(AND('Your debts'!$F$8&lt;&gt;"",'Your debts'!$F$13&lt;&gt;"",'Your debts'!$F$8&lt;'Your debts'!$F$13),R293,0)+IF(AND('Your debts'!$F$9&lt;&gt;"",'Your debts'!$F$13&lt;&gt;"",'Your debts'!$F$9&lt;'Your debts'!$F$13),W293,0)+IF(AND('Your debts'!$F$10&lt;&gt;"",'Your debts'!$F$13&lt;&gt;"",'Your debts'!$F$10&lt;'Your debts'!$F$13),AB293,0)+IF(AND('Your debts'!$F$11&lt;&gt;"",'Your debts'!$F$13&lt;&gt;"",'Your debts'!$F$11&lt;'Your debts'!$F$13),AG293,0)+IF(AND('Your debts'!$F$12&lt;&gt;"",'Your debts'!$F$13&lt;&gt;"",'Your debts'!$F$12&lt;'Your debts'!$F$13),AL293,0)+IF(AND('Your debts'!$F$14&lt;&gt;"",'Your debts'!$F$13&lt;&gt;"",'Your debts'!$F$14&lt;'Your debts'!$F$13),AV293,0)+IF(AND('Your debts'!$F$15&lt;&gt;"",'Your debts'!$F$13&lt;&gt;"",'Your debts'!$F$15&lt;'Your debts'!$F$13),BA293,0)))))</f>
        <v/>
      </c>
      <c r="AS293" s="33">
        <f>AQ293-AR293</f>
        <v/>
      </c>
      <c r="AT293" s="33">
        <f>IF(AX292&lt;=0,0,ROUND(AX292*(1+'Your debts'!$D$14/1200),2))</f>
        <v/>
      </c>
      <c r="AU293" s="33">
        <f>IF(AT293&lt;=0,0,MIN('Your debts'!$E$14,AT293))</f>
        <v/>
      </c>
      <c r="AV293" s="33">
        <f>AT293-AU293</f>
        <v/>
      </c>
      <c r="AW293" s="33">
        <f>IF('Your debts'!$F$14="",0,MIN(AV293,MAX(0,MAX(0,'Your debts'!$C$19-(G293+L293+Q293+V293+AA293+AF293+AK293+AP293+AU293+AZ293))-(IF(AND('Your debts'!$F$6&lt;&gt;"",'Your debts'!$F$14&lt;&gt;"",'Your debts'!$F$6&lt;'Your debts'!$F$14),H293,0)+IF(AND('Your debts'!$F$7&lt;&gt;"",'Your debts'!$F$14&lt;&gt;"",'Your debts'!$F$7&lt;'Your debts'!$F$14),M293,0)+IF(AND('Your debts'!$F$8&lt;&gt;"",'Your debts'!$F$14&lt;&gt;"",'Your debts'!$F$8&lt;'Your debts'!$F$14),R293,0)+IF(AND('Your debts'!$F$9&lt;&gt;"",'Your debts'!$F$14&lt;&gt;"",'Your debts'!$F$9&lt;'Your debts'!$F$14),W293,0)+IF(AND('Your debts'!$F$10&lt;&gt;"",'Your debts'!$F$14&lt;&gt;"",'Your debts'!$F$10&lt;'Your debts'!$F$14),AB293,0)+IF(AND('Your debts'!$F$11&lt;&gt;"",'Your debts'!$F$14&lt;&gt;"",'Your debts'!$F$11&lt;'Your debts'!$F$14),AG293,0)+IF(AND('Your debts'!$F$12&lt;&gt;"",'Your debts'!$F$14&lt;&gt;"",'Your debts'!$F$12&lt;'Your debts'!$F$14),AL293,0)+IF(AND('Your debts'!$F$13&lt;&gt;"",'Your debts'!$F$14&lt;&gt;"",'Your debts'!$F$13&lt;'Your debts'!$F$14),AQ293,0)+IF(AND('Your debts'!$F$15&lt;&gt;"",'Your debts'!$F$14&lt;&gt;"",'Your debts'!$F$15&lt;'Your debts'!$F$14),BA293,0)))))</f>
        <v/>
      </c>
      <c r="AX293" s="33">
        <f>AV293-AW293</f>
        <v/>
      </c>
      <c r="AY293" s="33">
        <f>IF(BC292&lt;=0,0,ROUND(BC292*(1+'Your debts'!$D$15/1200),2))</f>
        <v/>
      </c>
      <c r="AZ293" s="33">
        <f>IF(AY293&lt;=0,0,MIN('Your debts'!$E$15,AY293))</f>
        <v/>
      </c>
      <c r="BA293" s="33">
        <f>AY293-AZ293</f>
        <v/>
      </c>
      <c r="BB293" s="33">
        <f>IF('Your debts'!$F$15="",0,MIN(BA293,MAX(0,MAX(0,'Your debts'!$C$19-(G293+L293+Q293+V293+AA293+AF293+AK293+AP293+AU293+AZ293))-(IF(AND('Your debts'!$F$6&lt;&gt;"",'Your debts'!$F$15&lt;&gt;"",'Your debts'!$F$6&lt;'Your debts'!$F$15),H293,0)+IF(AND('Your debts'!$F$7&lt;&gt;"",'Your debts'!$F$15&lt;&gt;"",'Your debts'!$F$7&lt;'Your debts'!$F$15),M293,0)+IF(AND('Your debts'!$F$8&lt;&gt;"",'Your debts'!$F$15&lt;&gt;"",'Your debts'!$F$8&lt;'Your debts'!$F$15),R293,0)+IF(AND('Your debts'!$F$9&lt;&gt;"",'Your debts'!$F$15&lt;&gt;"",'Your debts'!$F$9&lt;'Your debts'!$F$15),W293,0)+IF(AND('Your debts'!$F$10&lt;&gt;"",'Your debts'!$F$15&lt;&gt;"",'Your debts'!$F$10&lt;'Your debts'!$F$15),AB293,0)+IF(AND('Your debts'!$F$11&lt;&gt;"",'Your debts'!$F$15&lt;&gt;"",'Your debts'!$F$11&lt;'Your debts'!$F$15),AG293,0)+IF(AND('Your debts'!$F$12&lt;&gt;"",'Your debts'!$F$15&lt;&gt;"",'Your debts'!$F$12&lt;'Your debts'!$F$15),AL293,0)+IF(AND('Your debts'!$F$13&lt;&gt;"",'Your debts'!$F$15&lt;&gt;"",'Your debts'!$F$13&lt;'Your debts'!$F$15),AQ293,0)+IF(AND('Your debts'!$F$14&lt;&gt;"",'Your debts'!$F$15&lt;&gt;"",'Your debts'!$F$14&lt;'Your debts'!$F$15),AV293,0)))))</f>
        <v/>
      </c>
      <c r="BC293" s="33">
        <f>BA293-BB293</f>
        <v/>
      </c>
    </row>
    <row r="294">
      <c r="A294" s="30" t="n">
        <v>279</v>
      </c>
      <c r="B294" s="31">
        <f>EDATE($B$15,279)</f>
        <v/>
      </c>
      <c r="C294" s="32">
        <f>IF(J293&lt;=0,0,F294-J293)+IF(O293&lt;=0,0,K294-O293)+IF(T293&lt;=0,0,P294-T293)+IF(Y293&lt;=0,0,U294-Y293)+IF(AD293&lt;=0,0,Z294-AD293)+IF(AI293&lt;=0,0,AE294-AI293)+IF(AN293&lt;=0,0,AJ294-AN293)+IF(AS293&lt;=0,0,AO294-AS293)+IF(AX293&lt;=0,0,AT294-AX293)+IF(BC293&lt;=0,0,AY294-BC293)</f>
        <v/>
      </c>
      <c r="D294" s="32">
        <f>G294+I294+L294+N294+Q294+S294+V294+X294+AA294+AC294+AF294+AH294+AK294+AM294+AP294+AR294+AU294+AW294+AZ294+BB294</f>
        <v/>
      </c>
      <c r="E294" s="32">
        <f>J294+O294+T294+Y294+AD294+AI294+AN294+AS294+AX294+BC294</f>
        <v/>
      </c>
      <c r="F294" s="33">
        <f>IF(J293&lt;=0,0,ROUND(J293*(1+'Your debts'!$D$6/1200),2))</f>
        <v/>
      </c>
      <c r="G294" s="33">
        <f>IF(F294&lt;=0,0,MIN('Your debts'!$E$6,F294))</f>
        <v/>
      </c>
      <c r="H294" s="33">
        <f>F294-G294</f>
        <v/>
      </c>
      <c r="I294" s="33">
        <f>IF('Your debts'!$F$6="",0,MIN(H294,MAX(0,MAX(0,'Your debts'!$C$19-(G294+L294+Q294+V294+AA294+AF294+AK294+AP294+AU294+AZ294))-(IF(AND('Your debts'!$F$7&lt;&gt;"",'Your debts'!$F$6&lt;&gt;"",'Your debts'!$F$7&lt;'Your debts'!$F$6),M294,0)+IF(AND('Your debts'!$F$8&lt;&gt;"",'Your debts'!$F$6&lt;&gt;"",'Your debts'!$F$8&lt;'Your debts'!$F$6),R294,0)+IF(AND('Your debts'!$F$9&lt;&gt;"",'Your debts'!$F$6&lt;&gt;"",'Your debts'!$F$9&lt;'Your debts'!$F$6),W294,0)+IF(AND('Your debts'!$F$10&lt;&gt;"",'Your debts'!$F$6&lt;&gt;"",'Your debts'!$F$10&lt;'Your debts'!$F$6),AB294,0)+IF(AND('Your debts'!$F$11&lt;&gt;"",'Your debts'!$F$6&lt;&gt;"",'Your debts'!$F$11&lt;'Your debts'!$F$6),AG294,0)+IF(AND('Your debts'!$F$12&lt;&gt;"",'Your debts'!$F$6&lt;&gt;"",'Your debts'!$F$12&lt;'Your debts'!$F$6),AL294,0)+IF(AND('Your debts'!$F$13&lt;&gt;"",'Your debts'!$F$6&lt;&gt;"",'Your debts'!$F$13&lt;'Your debts'!$F$6),AQ294,0)+IF(AND('Your debts'!$F$14&lt;&gt;"",'Your debts'!$F$6&lt;&gt;"",'Your debts'!$F$14&lt;'Your debts'!$F$6),AV294,0)+IF(AND('Your debts'!$F$15&lt;&gt;"",'Your debts'!$F$6&lt;&gt;"",'Your debts'!$F$15&lt;'Your debts'!$F$6),BA294,0)))))</f>
        <v/>
      </c>
      <c r="J294" s="33">
        <f>H294-I294</f>
        <v/>
      </c>
      <c r="K294" s="33">
        <f>IF(O293&lt;=0,0,ROUND(O293*(1+'Your debts'!$D$7/1200),2))</f>
        <v/>
      </c>
      <c r="L294" s="33">
        <f>IF(K294&lt;=0,0,MIN('Your debts'!$E$7,K294))</f>
        <v/>
      </c>
      <c r="M294" s="33">
        <f>K294-L294</f>
        <v/>
      </c>
      <c r="N294" s="33">
        <f>IF('Your debts'!$F$7="",0,MIN(M294,MAX(0,MAX(0,'Your debts'!$C$19-(G294+L294+Q294+V294+AA294+AF294+AK294+AP294+AU294+AZ294))-(IF(AND('Your debts'!$F$6&lt;&gt;"",'Your debts'!$F$7&lt;&gt;"",'Your debts'!$F$6&lt;'Your debts'!$F$7),H294,0)+IF(AND('Your debts'!$F$8&lt;&gt;"",'Your debts'!$F$7&lt;&gt;"",'Your debts'!$F$8&lt;'Your debts'!$F$7),R294,0)+IF(AND('Your debts'!$F$9&lt;&gt;"",'Your debts'!$F$7&lt;&gt;"",'Your debts'!$F$9&lt;'Your debts'!$F$7),W294,0)+IF(AND('Your debts'!$F$10&lt;&gt;"",'Your debts'!$F$7&lt;&gt;"",'Your debts'!$F$10&lt;'Your debts'!$F$7),AB294,0)+IF(AND('Your debts'!$F$11&lt;&gt;"",'Your debts'!$F$7&lt;&gt;"",'Your debts'!$F$11&lt;'Your debts'!$F$7),AG294,0)+IF(AND('Your debts'!$F$12&lt;&gt;"",'Your debts'!$F$7&lt;&gt;"",'Your debts'!$F$12&lt;'Your debts'!$F$7),AL294,0)+IF(AND('Your debts'!$F$13&lt;&gt;"",'Your debts'!$F$7&lt;&gt;"",'Your debts'!$F$13&lt;'Your debts'!$F$7),AQ294,0)+IF(AND('Your debts'!$F$14&lt;&gt;"",'Your debts'!$F$7&lt;&gt;"",'Your debts'!$F$14&lt;'Your debts'!$F$7),AV294,0)+IF(AND('Your debts'!$F$15&lt;&gt;"",'Your debts'!$F$7&lt;&gt;"",'Your debts'!$F$15&lt;'Your debts'!$F$7),BA294,0)))))</f>
        <v/>
      </c>
      <c r="O294" s="33">
        <f>M294-N294</f>
        <v/>
      </c>
      <c r="P294" s="33">
        <f>IF(T293&lt;=0,0,ROUND(T293*(1+'Your debts'!$D$8/1200),2))</f>
        <v/>
      </c>
      <c r="Q294" s="33">
        <f>IF(P294&lt;=0,0,MIN('Your debts'!$E$8,P294))</f>
        <v/>
      </c>
      <c r="R294" s="33">
        <f>P294-Q294</f>
        <v/>
      </c>
      <c r="S294" s="33">
        <f>IF('Your debts'!$F$8="",0,MIN(R294,MAX(0,MAX(0,'Your debts'!$C$19-(G294+L294+Q294+V294+AA294+AF294+AK294+AP294+AU294+AZ294))-(IF(AND('Your debts'!$F$6&lt;&gt;"",'Your debts'!$F$8&lt;&gt;"",'Your debts'!$F$6&lt;'Your debts'!$F$8),H294,0)+IF(AND('Your debts'!$F$7&lt;&gt;"",'Your debts'!$F$8&lt;&gt;"",'Your debts'!$F$7&lt;'Your debts'!$F$8),M294,0)+IF(AND('Your debts'!$F$9&lt;&gt;"",'Your debts'!$F$8&lt;&gt;"",'Your debts'!$F$9&lt;'Your debts'!$F$8),W294,0)+IF(AND('Your debts'!$F$10&lt;&gt;"",'Your debts'!$F$8&lt;&gt;"",'Your debts'!$F$10&lt;'Your debts'!$F$8),AB294,0)+IF(AND('Your debts'!$F$11&lt;&gt;"",'Your debts'!$F$8&lt;&gt;"",'Your debts'!$F$11&lt;'Your debts'!$F$8),AG294,0)+IF(AND('Your debts'!$F$12&lt;&gt;"",'Your debts'!$F$8&lt;&gt;"",'Your debts'!$F$12&lt;'Your debts'!$F$8),AL294,0)+IF(AND('Your debts'!$F$13&lt;&gt;"",'Your debts'!$F$8&lt;&gt;"",'Your debts'!$F$13&lt;'Your debts'!$F$8),AQ294,0)+IF(AND('Your debts'!$F$14&lt;&gt;"",'Your debts'!$F$8&lt;&gt;"",'Your debts'!$F$14&lt;'Your debts'!$F$8),AV294,0)+IF(AND('Your debts'!$F$15&lt;&gt;"",'Your debts'!$F$8&lt;&gt;"",'Your debts'!$F$15&lt;'Your debts'!$F$8),BA294,0)))))</f>
        <v/>
      </c>
      <c r="T294" s="33">
        <f>R294-S294</f>
        <v/>
      </c>
      <c r="U294" s="33">
        <f>IF(Y293&lt;=0,0,ROUND(Y293*(1+'Your debts'!$D$9/1200),2))</f>
        <v/>
      </c>
      <c r="V294" s="33">
        <f>IF(U294&lt;=0,0,MIN('Your debts'!$E$9,U294))</f>
        <v/>
      </c>
      <c r="W294" s="33">
        <f>U294-V294</f>
        <v/>
      </c>
      <c r="X294" s="33">
        <f>IF('Your debts'!$F$9="",0,MIN(W294,MAX(0,MAX(0,'Your debts'!$C$19-(G294+L294+Q294+V294+AA294+AF294+AK294+AP294+AU294+AZ294))-(IF(AND('Your debts'!$F$6&lt;&gt;"",'Your debts'!$F$9&lt;&gt;"",'Your debts'!$F$6&lt;'Your debts'!$F$9),H294,0)+IF(AND('Your debts'!$F$7&lt;&gt;"",'Your debts'!$F$9&lt;&gt;"",'Your debts'!$F$7&lt;'Your debts'!$F$9),M294,0)+IF(AND('Your debts'!$F$8&lt;&gt;"",'Your debts'!$F$9&lt;&gt;"",'Your debts'!$F$8&lt;'Your debts'!$F$9),R294,0)+IF(AND('Your debts'!$F$10&lt;&gt;"",'Your debts'!$F$9&lt;&gt;"",'Your debts'!$F$10&lt;'Your debts'!$F$9),AB294,0)+IF(AND('Your debts'!$F$11&lt;&gt;"",'Your debts'!$F$9&lt;&gt;"",'Your debts'!$F$11&lt;'Your debts'!$F$9),AG294,0)+IF(AND('Your debts'!$F$12&lt;&gt;"",'Your debts'!$F$9&lt;&gt;"",'Your debts'!$F$12&lt;'Your debts'!$F$9),AL294,0)+IF(AND('Your debts'!$F$13&lt;&gt;"",'Your debts'!$F$9&lt;&gt;"",'Your debts'!$F$13&lt;'Your debts'!$F$9),AQ294,0)+IF(AND('Your debts'!$F$14&lt;&gt;"",'Your debts'!$F$9&lt;&gt;"",'Your debts'!$F$14&lt;'Your debts'!$F$9),AV294,0)+IF(AND('Your debts'!$F$15&lt;&gt;"",'Your debts'!$F$9&lt;&gt;"",'Your debts'!$F$15&lt;'Your debts'!$F$9),BA294,0)))))</f>
        <v/>
      </c>
      <c r="Y294" s="33">
        <f>W294-X294</f>
        <v/>
      </c>
      <c r="Z294" s="33">
        <f>IF(AD293&lt;=0,0,ROUND(AD293*(1+'Your debts'!$D$10/1200),2))</f>
        <v/>
      </c>
      <c r="AA294" s="33">
        <f>IF(Z294&lt;=0,0,MIN('Your debts'!$E$10,Z294))</f>
        <v/>
      </c>
      <c r="AB294" s="33">
        <f>Z294-AA294</f>
        <v/>
      </c>
      <c r="AC294" s="33">
        <f>IF('Your debts'!$F$10="",0,MIN(AB294,MAX(0,MAX(0,'Your debts'!$C$19-(G294+L294+Q294+V294+AA294+AF294+AK294+AP294+AU294+AZ294))-(IF(AND('Your debts'!$F$6&lt;&gt;"",'Your debts'!$F$10&lt;&gt;"",'Your debts'!$F$6&lt;'Your debts'!$F$10),H294,0)+IF(AND('Your debts'!$F$7&lt;&gt;"",'Your debts'!$F$10&lt;&gt;"",'Your debts'!$F$7&lt;'Your debts'!$F$10),M294,0)+IF(AND('Your debts'!$F$8&lt;&gt;"",'Your debts'!$F$10&lt;&gt;"",'Your debts'!$F$8&lt;'Your debts'!$F$10),R294,0)+IF(AND('Your debts'!$F$9&lt;&gt;"",'Your debts'!$F$10&lt;&gt;"",'Your debts'!$F$9&lt;'Your debts'!$F$10),W294,0)+IF(AND('Your debts'!$F$11&lt;&gt;"",'Your debts'!$F$10&lt;&gt;"",'Your debts'!$F$11&lt;'Your debts'!$F$10),AG294,0)+IF(AND('Your debts'!$F$12&lt;&gt;"",'Your debts'!$F$10&lt;&gt;"",'Your debts'!$F$12&lt;'Your debts'!$F$10),AL294,0)+IF(AND('Your debts'!$F$13&lt;&gt;"",'Your debts'!$F$10&lt;&gt;"",'Your debts'!$F$13&lt;'Your debts'!$F$10),AQ294,0)+IF(AND('Your debts'!$F$14&lt;&gt;"",'Your debts'!$F$10&lt;&gt;"",'Your debts'!$F$14&lt;'Your debts'!$F$10),AV294,0)+IF(AND('Your debts'!$F$15&lt;&gt;"",'Your debts'!$F$10&lt;&gt;"",'Your debts'!$F$15&lt;'Your debts'!$F$10),BA294,0)))))</f>
        <v/>
      </c>
      <c r="AD294" s="33">
        <f>AB294-AC294</f>
        <v/>
      </c>
      <c r="AE294" s="33">
        <f>IF(AI293&lt;=0,0,ROUND(AI293*(1+'Your debts'!$D$11/1200),2))</f>
        <v/>
      </c>
      <c r="AF294" s="33">
        <f>IF(AE294&lt;=0,0,MIN('Your debts'!$E$11,AE294))</f>
        <v/>
      </c>
      <c r="AG294" s="33">
        <f>AE294-AF294</f>
        <v/>
      </c>
      <c r="AH294" s="33">
        <f>IF('Your debts'!$F$11="",0,MIN(AG294,MAX(0,MAX(0,'Your debts'!$C$19-(G294+L294+Q294+V294+AA294+AF294+AK294+AP294+AU294+AZ294))-(IF(AND('Your debts'!$F$6&lt;&gt;"",'Your debts'!$F$11&lt;&gt;"",'Your debts'!$F$6&lt;'Your debts'!$F$11),H294,0)+IF(AND('Your debts'!$F$7&lt;&gt;"",'Your debts'!$F$11&lt;&gt;"",'Your debts'!$F$7&lt;'Your debts'!$F$11),M294,0)+IF(AND('Your debts'!$F$8&lt;&gt;"",'Your debts'!$F$11&lt;&gt;"",'Your debts'!$F$8&lt;'Your debts'!$F$11),R294,0)+IF(AND('Your debts'!$F$9&lt;&gt;"",'Your debts'!$F$11&lt;&gt;"",'Your debts'!$F$9&lt;'Your debts'!$F$11),W294,0)+IF(AND('Your debts'!$F$10&lt;&gt;"",'Your debts'!$F$11&lt;&gt;"",'Your debts'!$F$10&lt;'Your debts'!$F$11),AB294,0)+IF(AND('Your debts'!$F$12&lt;&gt;"",'Your debts'!$F$11&lt;&gt;"",'Your debts'!$F$12&lt;'Your debts'!$F$11),AL294,0)+IF(AND('Your debts'!$F$13&lt;&gt;"",'Your debts'!$F$11&lt;&gt;"",'Your debts'!$F$13&lt;'Your debts'!$F$11),AQ294,0)+IF(AND('Your debts'!$F$14&lt;&gt;"",'Your debts'!$F$11&lt;&gt;"",'Your debts'!$F$14&lt;'Your debts'!$F$11),AV294,0)+IF(AND('Your debts'!$F$15&lt;&gt;"",'Your debts'!$F$11&lt;&gt;"",'Your debts'!$F$15&lt;'Your debts'!$F$11),BA294,0)))))</f>
        <v/>
      </c>
      <c r="AI294" s="33">
        <f>AG294-AH294</f>
        <v/>
      </c>
      <c r="AJ294" s="33">
        <f>IF(AN293&lt;=0,0,ROUND(AN293*(1+'Your debts'!$D$12/1200),2))</f>
        <v/>
      </c>
      <c r="AK294" s="33">
        <f>IF(AJ294&lt;=0,0,MIN('Your debts'!$E$12,AJ294))</f>
        <v/>
      </c>
      <c r="AL294" s="33">
        <f>AJ294-AK294</f>
        <v/>
      </c>
      <c r="AM294" s="33">
        <f>IF('Your debts'!$F$12="",0,MIN(AL294,MAX(0,MAX(0,'Your debts'!$C$19-(G294+L294+Q294+V294+AA294+AF294+AK294+AP294+AU294+AZ294))-(IF(AND('Your debts'!$F$6&lt;&gt;"",'Your debts'!$F$12&lt;&gt;"",'Your debts'!$F$6&lt;'Your debts'!$F$12),H294,0)+IF(AND('Your debts'!$F$7&lt;&gt;"",'Your debts'!$F$12&lt;&gt;"",'Your debts'!$F$7&lt;'Your debts'!$F$12),M294,0)+IF(AND('Your debts'!$F$8&lt;&gt;"",'Your debts'!$F$12&lt;&gt;"",'Your debts'!$F$8&lt;'Your debts'!$F$12),R294,0)+IF(AND('Your debts'!$F$9&lt;&gt;"",'Your debts'!$F$12&lt;&gt;"",'Your debts'!$F$9&lt;'Your debts'!$F$12),W294,0)+IF(AND('Your debts'!$F$10&lt;&gt;"",'Your debts'!$F$12&lt;&gt;"",'Your debts'!$F$10&lt;'Your debts'!$F$12),AB294,0)+IF(AND('Your debts'!$F$11&lt;&gt;"",'Your debts'!$F$12&lt;&gt;"",'Your debts'!$F$11&lt;'Your debts'!$F$12),AG294,0)+IF(AND('Your debts'!$F$13&lt;&gt;"",'Your debts'!$F$12&lt;&gt;"",'Your debts'!$F$13&lt;'Your debts'!$F$12),AQ294,0)+IF(AND('Your debts'!$F$14&lt;&gt;"",'Your debts'!$F$12&lt;&gt;"",'Your debts'!$F$14&lt;'Your debts'!$F$12),AV294,0)+IF(AND('Your debts'!$F$15&lt;&gt;"",'Your debts'!$F$12&lt;&gt;"",'Your debts'!$F$15&lt;'Your debts'!$F$12),BA294,0)))))</f>
        <v/>
      </c>
      <c r="AN294" s="33">
        <f>AL294-AM294</f>
        <v/>
      </c>
      <c r="AO294" s="33">
        <f>IF(AS293&lt;=0,0,ROUND(AS293*(1+'Your debts'!$D$13/1200),2))</f>
        <v/>
      </c>
      <c r="AP294" s="33">
        <f>IF(AO294&lt;=0,0,MIN('Your debts'!$E$13,AO294))</f>
        <v/>
      </c>
      <c r="AQ294" s="33">
        <f>AO294-AP294</f>
        <v/>
      </c>
      <c r="AR294" s="33">
        <f>IF('Your debts'!$F$13="",0,MIN(AQ294,MAX(0,MAX(0,'Your debts'!$C$19-(G294+L294+Q294+V294+AA294+AF294+AK294+AP294+AU294+AZ294))-(IF(AND('Your debts'!$F$6&lt;&gt;"",'Your debts'!$F$13&lt;&gt;"",'Your debts'!$F$6&lt;'Your debts'!$F$13),H294,0)+IF(AND('Your debts'!$F$7&lt;&gt;"",'Your debts'!$F$13&lt;&gt;"",'Your debts'!$F$7&lt;'Your debts'!$F$13),M294,0)+IF(AND('Your debts'!$F$8&lt;&gt;"",'Your debts'!$F$13&lt;&gt;"",'Your debts'!$F$8&lt;'Your debts'!$F$13),R294,0)+IF(AND('Your debts'!$F$9&lt;&gt;"",'Your debts'!$F$13&lt;&gt;"",'Your debts'!$F$9&lt;'Your debts'!$F$13),W294,0)+IF(AND('Your debts'!$F$10&lt;&gt;"",'Your debts'!$F$13&lt;&gt;"",'Your debts'!$F$10&lt;'Your debts'!$F$13),AB294,0)+IF(AND('Your debts'!$F$11&lt;&gt;"",'Your debts'!$F$13&lt;&gt;"",'Your debts'!$F$11&lt;'Your debts'!$F$13),AG294,0)+IF(AND('Your debts'!$F$12&lt;&gt;"",'Your debts'!$F$13&lt;&gt;"",'Your debts'!$F$12&lt;'Your debts'!$F$13),AL294,0)+IF(AND('Your debts'!$F$14&lt;&gt;"",'Your debts'!$F$13&lt;&gt;"",'Your debts'!$F$14&lt;'Your debts'!$F$13),AV294,0)+IF(AND('Your debts'!$F$15&lt;&gt;"",'Your debts'!$F$13&lt;&gt;"",'Your debts'!$F$15&lt;'Your debts'!$F$13),BA294,0)))))</f>
        <v/>
      </c>
      <c r="AS294" s="33">
        <f>AQ294-AR294</f>
        <v/>
      </c>
      <c r="AT294" s="33">
        <f>IF(AX293&lt;=0,0,ROUND(AX293*(1+'Your debts'!$D$14/1200),2))</f>
        <v/>
      </c>
      <c r="AU294" s="33">
        <f>IF(AT294&lt;=0,0,MIN('Your debts'!$E$14,AT294))</f>
        <v/>
      </c>
      <c r="AV294" s="33">
        <f>AT294-AU294</f>
        <v/>
      </c>
      <c r="AW294" s="33">
        <f>IF('Your debts'!$F$14="",0,MIN(AV294,MAX(0,MAX(0,'Your debts'!$C$19-(G294+L294+Q294+V294+AA294+AF294+AK294+AP294+AU294+AZ294))-(IF(AND('Your debts'!$F$6&lt;&gt;"",'Your debts'!$F$14&lt;&gt;"",'Your debts'!$F$6&lt;'Your debts'!$F$14),H294,0)+IF(AND('Your debts'!$F$7&lt;&gt;"",'Your debts'!$F$14&lt;&gt;"",'Your debts'!$F$7&lt;'Your debts'!$F$14),M294,0)+IF(AND('Your debts'!$F$8&lt;&gt;"",'Your debts'!$F$14&lt;&gt;"",'Your debts'!$F$8&lt;'Your debts'!$F$14),R294,0)+IF(AND('Your debts'!$F$9&lt;&gt;"",'Your debts'!$F$14&lt;&gt;"",'Your debts'!$F$9&lt;'Your debts'!$F$14),W294,0)+IF(AND('Your debts'!$F$10&lt;&gt;"",'Your debts'!$F$14&lt;&gt;"",'Your debts'!$F$10&lt;'Your debts'!$F$14),AB294,0)+IF(AND('Your debts'!$F$11&lt;&gt;"",'Your debts'!$F$14&lt;&gt;"",'Your debts'!$F$11&lt;'Your debts'!$F$14),AG294,0)+IF(AND('Your debts'!$F$12&lt;&gt;"",'Your debts'!$F$14&lt;&gt;"",'Your debts'!$F$12&lt;'Your debts'!$F$14),AL294,0)+IF(AND('Your debts'!$F$13&lt;&gt;"",'Your debts'!$F$14&lt;&gt;"",'Your debts'!$F$13&lt;'Your debts'!$F$14),AQ294,0)+IF(AND('Your debts'!$F$15&lt;&gt;"",'Your debts'!$F$14&lt;&gt;"",'Your debts'!$F$15&lt;'Your debts'!$F$14),BA294,0)))))</f>
        <v/>
      </c>
      <c r="AX294" s="33">
        <f>AV294-AW294</f>
        <v/>
      </c>
      <c r="AY294" s="33">
        <f>IF(BC293&lt;=0,0,ROUND(BC293*(1+'Your debts'!$D$15/1200),2))</f>
        <v/>
      </c>
      <c r="AZ294" s="33">
        <f>IF(AY294&lt;=0,0,MIN('Your debts'!$E$15,AY294))</f>
        <v/>
      </c>
      <c r="BA294" s="33">
        <f>AY294-AZ294</f>
        <v/>
      </c>
      <c r="BB294" s="33">
        <f>IF('Your debts'!$F$15="",0,MIN(BA294,MAX(0,MAX(0,'Your debts'!$C$19-(G294+L294+Q294+V294+AA294+AF294+AK294+AP294+AU294+AZ294))-(IF(AND('Your debts'!$F$6&lt;&gt;"",'Your debts'!$F$15&lt;&gt;"",'Your debts'!$F$6&lt;'Your debts'!$F$15),H294,0)+IF(AND('Your debts'!$F$7&lt;&gt;"",'Your debts'!$F$15&lt;&gt;"",'Your debts'!$F$7&lt;'Your debts'!$F$15),M294,0)+IF(AND('Your debts'!$F$8&lt;&gt;"",'Your debts'!$F$15&lt;&gt;"",'Your debts'!$F$8&lt;'Your debts'!$F$15),R294,0)+IF(AND('Your debts'!$F$9&lt;&gt;"",'Your debts'!$F$15&lt;&gt;"",'Your debts'!$F$9&lt;'Your debts'!$F$15),W294,0)+IF(AND('Your debts'!$F$10&lt;&gt;"",'Your debts'!$F$15&lt;&gt;"",'Your debts'!$F$10&lt;'Your debts'!$F$15),AB294,0)+IF(AND('Your debts'!$F$11&lt;&gt;"",'Your debts'!$F$15&lt;&gt;"",'Your debts'!$F$11&lt;'Your debts'!$F$15),AG294,0)+IF(AND('Your debts'!$F$12&lt;&gt;"",'Your debts'!$F$15&lt;&gt;"",'Your debts'!$F$12&lt;'Your debts'!$F$15),AL294,0)+IF(AND('Your debts'!$F$13&lt;&gt;"",'Your debts'!$F$15&lt;&gt;"",'Your debts'!$F$13&lt;'Your debts'!$F$15),AQ294,0)+IF(AND('Your debts'!$F$14&lt;&gt;"",'Your debts'!$F$15&lt;&gt;"",'Your debts'!$F$14&lt;'Your debts'!$F$15),AV294,0)))))</f>
        <v/>
      </c>
      <c r="BC294" s="33">
        <f>BA294-BB294</f>
        <v/>
      </c>
    </row>
    <row r="295">
      <c r="A295" s="30" t="n">
        <v>280</v>
      </c>
      <c r="B295" s="31">
        <f>EDATE($B$15,280)</f>
        <v/>
      </c>
      <c r="C295" s="32">
        <f>IF(J294&lt;=0,0,F295-J294)+IF(O294&lt;=0,0,K295-O294)+IF(T294&lt;=0,0,P295-T294)+IF(Y294&lt;=0,0,U295-Y294)+IF(AD294&lt;=0,0,Z295-AD294)+IF(AI294&lt;=0,0,AE295-AI294)+IF(AN294&lt;=0,0,AJ295-AN294)+IF(AS294&lt;=0,0,AO295-AS294)+IF(AX294&lt;=0,0,AT295-AX294)+IF(BC294&lt;=0,0,AY295-BC294)</f>
        <v/>
      </c>
      <c r="D295" s="32">
        <f>G295+I295+L295+N295+Q295+S295+V295+X295+AA295+AC295+AF295+AH295+AK295+AM295+AP295+AR295+AU295+AW295+AZ295+BB295</f>
        <v/>
      </c>
      <c r="E295" s="32">
        <f>J295+O295+T295+Y295+AD295+AI295+AN295+AS295+AX295+BC295</f>
        <v/>
      </c>
      <c r="F295" s="33">
        <f>IF(J294&lt;=0,0,ROUND(J294*(1+'Your debts'!$D$6/1200),2))</f>
        <v/>
      </c>
      <c r="G295" s="33">
        <f>IF(F295&lt;=0,0,MIN('Your debts'!$E$6,F295))</f>
        <v/>
      </c>
      <c r="H295" s="33">
        <f>F295-G295</f>
        <v/>
      </c>
      <c r="I295" s="33">
        <f>IF('Your debts'!$F$6="",0,MIN(H295,MAX(0,MAX(0,'Your debts'!$C$19-(G295+L295+Q295+V295+AA295+AF295+AK295+AP295+AU295+AZ295))-(IF(AND('Your debts'!$F$7&lt;&gt;"",'Your debts'!$F$6&lt;&gt;"",'Your debts'!$F$7&lt;'Your debts'!$F$6),M295,0)+IF(AND('Your debts'!$F$8&lt;&gt;"",'Your debts'!$F$6&lt;&gt;"",'Your debts'!$F$8&lt;'Your debts'!$F$6),R295,0)+IF(AND('Your debts'!$F$9&lt;&gt;"",'Your debts'!$F$6&lt;&gt;"",'Your debts'!$F$9&lt;'Your debts'!$F$6),W295,0)+IF(AND('Your debts'!$F$10&lt;&gt;"",'Your debts'!$F$6&lt;&gt;"",'Your debts'!$F$10&lt;'Your debts'!$F$6),AB295,0)+IF(AND('Your debts'!$F$11&lt;&gt;"",'Your debts'!$F$6&lt;&gt;"",'Your debts'!$F$11&lt;'Your debts'!$F$6),AG295,0)+IF(AND('Your debts'!$F$12&lt;&gt;"",'Your debts'!$F$6&lt;&gt;"",'Your debts'!$F$12&lt;'Your debts'!$F$6),AL295,0)+IF(AND('Your debts'!$F$13&lt;&gt;"",'Your debts'!$F$6&lt;&gt;"",'Your debts'!$F$13&lt;'Your debts'!$F$6),AQ295,0)+IF(AND('Your debts'!$F$14&lt;&gt;"",'Your debts'!$F$6&lt;&gt;"",'Your debts'!$F$14&lt;'Your debts'!$F$6),AV295,0)+IF(AND('Your debts'!$F$15&lt;&gt;"",'Your debts'!$F$6&lt;&gt;"",'Your debts'!$F$15&lt;'Your debts'!$F$6),BA295,0)))))</f>
        <v/>
      </c>
      <c r="J295" s="33">
        <f>H295-I295</f>
        <v/>
      </c>
      <c r="K295" s="33">
        <f>IF(O294&lt;=0,0,ROUND(O294*(1+'Your debts'!$D$7/1200),2))</f>
        <v/>
      </c>
      <c r="L295" s="33">
        <f>IF(K295&lt;=0,0,MIN('Your debts'!$E$7,K295))</f>
        <v/>
      </c>
      <c r="M295" s="33">
        <f>K295-L295</f>
        <v/>
      </c>
      <c r="N295" s="33">
        <f>IF('Your debts'!$F$7="",0,MIN(M295,MAX(0,MAX(0,'Your debts'!$C$19-(G295+L295+Q295+V295+AA295+AF295+AK295+AP295+AU295+AZ295))-(IF(AND('Your debts'!$F$6&lt;&gt;"",'Your debts'!$F$7&lt;&gt;"",'Your debts'!$F$6&lt;'Your debts'!$F$7),H295,0)+IF(AND('Your debts'!$F$8&lt;&gt;"",'Your debts'!$F$7&lt;&gt;"",'Your debts'!$F$8&lt;'Your debts'!$F$7),R295,0)+IF(AND('Your debts'!$F$9&lt;&gt;"",'Your debts'!$F$7&lt;&gt;"",'Your debts'!$F$9&lt;'Your debts'!$F$7),W295,0)+IF(AND('Your debts'!$F$10&lt;&gt;"",'Your debts'!$F$7&lt;&gt;"",'Your debts'!$F$10&lt;'Your debts'!$F$7),AB295,0)+IF(AND('Your debts'!$F$11&lt;&gt;"",'Your debts'!$F$7&lt;&gt;"",'Your debts'!$F$11&lt;'Your debts'!$F$7),AG295,0)+IF(AND('Your debts'!$F$12&lt;&gt;"",'Your debts'!$F$7&lt;&gt;"",'Your debts'!$F$12&lt;'Your debts'!$F$7),AL295,0)+IF(AND('Your debts'!$F$13&lt;&gt;"",'Your debts'!$F$7&lt;&gt;"",'Your debts'!$F$13&lt;'Your debts'!$F$7),AQ295,0)+IF(AND('Your debts'!$F$14&lt;&gt;"",'Your debts'!$F$7&lt;&gt;"",'Your debts'!$F$14&lt;'Your debts'!$F$7),AV295,0)+IF(AND('Your debts'!$F$15&lt;&gt;"",'Your debts'!$F$7&lt;&gt;"",'Your debts'!$F$15&lt;'Your debts'!$F$7),BA295,0)))))</f>
        <v/>
      </c>
      <c r="O295" s="33">
        <f>M295-N295</f>
        <v/>
      </c>
      <c r="P295" s="33">
        <f>IF(T294&lt;=0,0,ROUND(T294*(1+'Your debts'!$D$8/1200),2))</f>
        <v/>
      </c>
      <c r="Q295" s="33">
        <f>IF(P295&lt;=0,0,MIN('Your debts'!$E$8,P295))</f>
        <v/>
      </c>
      <c r="R295" s="33">
        <f>P295-Q295</f>
        <v/>
      </c>
      <c r="S295" s="33">
        <f>IF('Your debts'!$F$8="",0,MIN(R295,MAX(0,MAX(0,'Your debts'!$C$19-(G295+L295+Q295+V295+AA295+AF295+AK295+AP295+AU295+AZ295))-(IF(AND('Your debts'!$F$6&lt;&gt;"",'Your debts'!$F$8&lt;&gt;"",'Your debts'!$F$6&lt;'Your debts'!$F$8),H295,0)+IF(AND('Your debts'!$F$7&lt;&gt;"",'Your debts'!$F$8&lt;&gt;"",'Your debts'!$F$7&lt;'Your debts'!$F$8),M295,0)+IF(AND('Your debts'!$F$9&lt;&gt;"",'Your debts'!$F$8&lt;&gt;"",'Your debts'!$F$9&lt;'Your debts'!$F$8),W295,0)+IF(AND('Your debts'!$F$10&lt;&gt;"",'Your debts'!$F$8&lt;&gt;"",'Your debts'!$F$10&lt;'Your debts'!$F$8),AB295,0)+IF(AND('Your debts'!$F$11&lt;&gt;"",'Your debts'!$F$8&lt;&gt;"",'Your debts'!$F$11&lt;'Your debts'!$F$8),AG295,0)+IF(AND('Your debts'!$F$12&lt;&gt;"",'Your debts'!$F$8&lt;&gt;"",'Your debts'!$F$12&lt;'Your debts'!$F$8),AL295,0)+IF(AND('Your debts'!$F$13&lt;&gt;"",'Your debts'!$F$8&lt;&gt;"",'Your debts'!$F$13&lt;'Your debts'!$F$8),AQ295,0)+IF(AND('Your debts'!$F$14&lt;&gt;"",'Your debts'!$F$8&lt;&gt;"",'Your debts'!$F$14&lt;'Your debts'!$F$8),AV295,0)+IF(AND('Your debts'!$F$15&lt;&gt;"",'Your debts'!$F$8&lt;&gt;"",'Your debts'!$F$15&lt;'Your debts'!$F$8),BA295,0)))))</f>
        <v/>
      </c>
      <c r="T295" s="33">
        <f>R295-S295</f>
        <v/>
      </c>
      <c r="U295" s="33">
        <f>IF(Y294&lt;=0,0,ROUND(Y294*(1+'Your debts'!$D$9/1200),2))</f>
        <v/>
      </c>
      <c r="V295" s="33">
        <f>IF(U295&lt;=0,0,MIN('Your debts'!$E$9,U295))</f>
        <v/>
      </c>
      <c r="W295" s="33">
        <f>U295-V295</f>
        <v/>
      </c>
      <c r="X295" s="33">
        <f>IF('Your debts'!$F$9="",0,MIN(W295,MAX(0,MAX(0,'Your debts'!$C$19-(G295+L295+Q295+V295+AA295+AF295+AK295+AP295+AU295+AZ295))-(IF(AND('Your debts'!$F$6&lt;&gt;"",'Your debts'!$F$9&lt;&gt;"",'Your debts'!$F$6&lt;'Your debts'!$F$9),H295,0)+IF(AND('Your debts'!$F$7&lt;&gt;"",'Your debts'!$F$9&lt;&gt;"",'Your debts'!$F$7&lt;'Your debts'!$F$9),M295,0)+IF(AND('Your debts'!$F$8&lt;&gt;"",'Your debts'!$F$9&lt;&gt;"",'Your debts'!$F$8&lt;'Your debts'!$F$9),R295,0)+IF(AND('Your debts'!$F$10&lt;&gt;"",'Your debts'!$F$9&lt;&gt;"",'Your debts'!$F$10&lt;'Your debts'!$F$9),AB295,0)+IF(AND('Your debts'!$F$11&lt;&gt;"",'Your debts'!$F$9&lt;&gt;"",'Your debts'!$F$11&lt;'Your debts'!$F$9),AG295,0)+IF(AND('Your debts'!$F$12&lt;&gt;"",'Your debts'!$F$9&lt;&gt;"",'Your debts'!$F$12&lt;'Your debts'!$F$9),AL295,0)+IF(AND('Your debts'!$F$13&lt;&gt;"",'Your debts'!$F$9&lt;&gt;"",'Your debts'!$F$13&lt;'Your debts'!$F$9),AQ295,0)+IF(AND('Your debts'!$F$14&lt;&gt;"",'Your debts'!$F$9&lt;&gt;"",'Your debts'!$F$14&lt;'Your debts'!$F$9),AV295,0)+IF(AND('Your debts'!$F$15&lt;&gt;"",'Your debts'!$F$9&lt;&gt;"",'Your debts'!$F$15&lt;'Your debts'!$F$9),BA295,0)))))</f>
        <v/>
      </c>
      <c r="Y295" s="33">
        <f>W295-X295</f>
        <v/>
      </c>
      <c r="Z295" s="33">
        <f>IF(AD294&lt;=0,0,ROUND(AD294*(1+'Your debts'!$D$10/1200),2))</f>
        <v/>
      </c>
      <c r="AA295" s="33">
        <f>IF(Z295&lt;=0,0,MIN('Your debts'!$E$10,Z295))</f>
        <v/>
      </c>
      <c r="AB295" s="33">
        <f>Z295-AA295</f>
        <v/>
      </c>
      <c r="AC295" s="33">
        <f>IF('Your debts'!$F$10="",0,MIN(AB295,MAX(0,MAX(0,'Your debts'!$C$19-(G295+L295+Q295+V295+AA295+AF295+AK295+AP295+AU295+AZ295))-(IF(AND('Your debts'!$F$6&lt;&gt;"",'Your debts'!$F$10&lt;&gt;"",'Your debts'!$F$6&lt;'Your debts'!$F$10),H295,0)+IF(AND('Your debts'!$F$7&lt;&gt;"",'Your debts'!$F$10&lt;&gt;"",'Your debts'!$F$7&lt;'Your debts'!$F$10),M295,0)+IF(AND('Your debts'!$F$8&lt;&gt;"",'Your debts'!$F$10&lt;&gt;"",'Your debts'!$F$8&lt;'Your debts'!$F$10),R295,0)+IF(AND('Your debts'!$F$9&lt;&gt;"",'Your debts'!$F$10&lt;&gt;"",'Your debts'!$F$9&lt;'Your debts'!$F$10),W295,0)+IF(AND('Your debts'!$F$11&lt;&gt;"",'Your debts'!$F$10&lt;&gt;"",'Your debts'!$F$11&lt;'Your debts'!$F$10),AG295,0)+IF(AND('Your debts'!$F$12&lt;&gt;"",'Your debts'!$F$10&lt;&gt;"",'Your debts'!$F$12&lt;'Your debts'!$F$10),AL295,0)+IF(AND('Your debts'!$F$13&lt;&gt;"",'Your debts'!$F$10&lt;&gt;"",'Your debts'!$F$13&lt;'Your debts'!$F$10),AQ295,0)+IF(AND('Your debts'!$F$14&lt;&gt;"",'Your debts'!$F$10&lt;&gt;"",'Your debts'!$F$14&lt;'Your debts'!$F$10),AV295,0)+IF(AND('Your debts'!$F$15&lt;&gt;"",'Your debts'!$F$10&lt;&gt;"",'Your debts'!$F$15&lt;'Your debts'!$F$10),BA295,0)))))</f>
        <v/>
      </c>
      <c r="AD295" s="33">
        <f>AB295-AC295</f>
        <v/>
      </c>
      <c r="AE295" s="33">
        <f>IF(AI294&lt;=0,0,ROUND(AI294*(1+'Your debts'!$D$11/1200),2))</f>
        <v/>
      </c>
      <c r="AF295" s="33">
        <f>IF(AE295&lt;=0,0,MIN('Your debts'!$E$11,AE295))</f>
        <v/>
      </c>
      <c r="AG295" s="33">
        <f>AE295-AF295</f>
        <v/>
      </c>
      <c r="AH295" s="33">
        <f>IF('Your debts'!$F$11="",0,MIN(AG295,MAX(0,MAX(0,'Your debts'!$C$19-(G295+L295+Q295+V295+AA295+AF295+AK295+AP295+AU295+AZ295))-(IF(AND('Your debts'!$F$6&lt;&gt;"",'Your debts'!$F$11&lt;&gt;"",'Your debts'!$F$6&lt;'Your debts'!$F$11),H295,0)+IF(AND('Your debts'!$F$7&lt;&gt;"",'Your debts'!$F$11&lt;&gt;"",'Your debts'!$F$7&lt;'Your debts'!$F$11),M295,0)+IF(AND('Your debts'!$F$8&lt;&gt;"",'Your debts'!$F$11&lt;&gt;"",'Your debts'!$F$8&lt;'Your debts'!$F$11),R295,0)+IF(AND('Your debts'!$F$9&lt;&gt;"",'Your debts'!$F$11&lt;&gt;"",'Your debts'!$F$9&lt;'Your debts'!$F$11),W295,0)+IF(AND('Your debts'!$F$10&lt;&gt;"",'Your debts'!$F$11&lt;&gt;"",'Your debts'!$F$10&lt;'Your debts'!$F$11),AB295,0)+IF(AND('Your debts'!$F$12&lt;&gt;"",'Your debts'!$F$11&lt;&gt;"",'Your debts'!$F$12&lt;'Your debts'!$F$11),AL295,0)+IF(AND('Your debts'!$F$13&lt;&gt;"",'Your debts'!$F$11&lt;&gt;"",'Your debts'!$F$13&lt;'Your debts'!$F$11),AQ295,0)+IF(AND('Your debts'!$F$14&lt;&gt;"",'Your debts'!$F$11&lt;&gt;"",'Your debts'!$F$14&lt;'Your debts'!$F$11),AV295,0)+IF(AND('Your debts'!$F$15&lt;&gt;"",'Your debts'!$F$11&lt;&gt;"",'Your debts'!$F$15&lt;'Your debts'!$F$11),BA295,0)))))</f>
        <v/>
      </c>
      <c r="AI295" s="33">
        <f>AG295-AH295</f>
        <v/>
      </c>
      <c r="AJ295" s="33">
        <f>IF(AN294&lt;=0,0,ROUND(AN294*(1+'Your debts'!$D$12/1200),2))</f>
        <v/>
      </c>
      <c r="AK295" s="33">
        <f>IF(AJ295&lt;=0,0,MIN('Your debts'!$E$12,AJ295))</f>
        <v/>
      </c>
      <c r="AL295" s="33">
        <f>AJ295-AK295</f>
        <v/>
      </c>
      <c r="AM295" s="33">
        <f>IF('Your debts'!$F$12="",0,MIN(AL295,MAX(0,MAX(0,'Your debts'!$C$19-(G295+L295+Q295+V295+AA295+AF295+AK295+AP295+AU295+AZ295))-(IF(AND('Your debts'!$F$6&lt;&gt;"",'Your debts'!$F$12&lt;&gt;"",'Your debts'!$F$6&lt;'Your debts'!$F$12),H295,0)+IF(AND('Your debts'!$F$7&lt;&gt;"",'Your debts'!$F$12&lt;&gt;"",'Your debts'!$F$7&lt;'Your debts'!$F$12),M295,0)+IF(AND('Your debts'!$F$8&lt;&gt;"",'Your debts'!$F$12&lt;&gt;"",'Your debts'!$F$8&lt;'Your debts'!$F$12),R295,0)+IF(AND('Your debts'!$F$9&lt;&gt;"",'Your debts'!$F$12&lt;&gt;"",'Your debts'!$F$9&lt;'Your debts'!$F$12),W295,0)+IF(AND('Your debts'!$F$10&lt;&gt;"",'Your debts'!$F$12&lt;&gt;"",'Your debts'!$F$10&lt;'Your debts'!$F$12),AB295,0)+IF(AND('Your debts'!$F$11&lt;&gt;"",'Your debts'!$F$12&lt;&gt;"",'Your debts'!$F$11&lt;'Your debts'!$F$12),AG295,0)+IF(AND('Your debts'!$F$13&lt;&gt;"",'Your debts'!$F$12&lt;&gt;"",'Your debts'!$F$13&lt;'Your debts'!$F$12),AQ295,0)+IF(AND('Your debts'!$F$14&lt;&gt;"",'Your debts'!$F$12&lt;&gt;"",'Your debts'!$F$14&lt;'Your debts'!$F$12),AV295,0)+IF(AND('Your debts'!$F$15&lt;&gt;"",'Your debts'!$F$12&lt;&gt;"",'Your debts'!$F$15&lt;'Your debts'!$F$12),BA295,0)))))</f>
        <v/>
      </c>
      <c r="AN295" s="33">
        <f>AL295-AM295</f>
        <v/>
      </c>
      <c r="AO295" s="33">
        <f>IF(AS294&lt;=0,0,ROUND(AS294*(1+'Your debts'!$D$13/1200),2))</f>
        <v/>
      </c>
      <c r="AP295" s="33">
        <f>IF(AO295&lt;=0,0,MIN('Your debts'!$E$13,AO295))</f>
        <v/>
      </c>
      <c r="AQ295" s="33">
        <f>AO295-AP295</f>
        <v/>
      </c>
      <c r="AR295" s="33">
        <f>IF('Your debts'!$F$13="",0,MIN(AQ295,MAX(0,MAX(0,'Your debts'!$C$19-(G295+L295+Q295+V295+AA295+AF295+AK295+AP295+AU295+AZ295))-(IF(AND('Your debts'!$F$6&lt;&gt;"",'Your debts'!$F$13&lt;&gt;"",'Your debts'!$F$6&lt;'Your debts'!$F$13),H295,0)+IF(AND('Your debts'!$F$7&lt;&gt;"",'Your debts'!$F$13&lt;&gt;"",'Your debts'!$F$7&lt;'Your debts'!$F$13),M295,0)+IF(AND('Your debts'!$F$8&lt;&gt;"",'Your debts'!$F$13&lt;&gt;"",'Your debts'!$F$8&lt;'Your debts'!$F$13),R295,0)+IF(AND('Your debts'!$F$9&lt;&gt;"",'Your debts'!$F$13&lt;&gt;"",'Your debts'!$F$9&lt;'Your debts'!$F$13),W295,0)+IF(AND('Your debts'!$F$10&lt;&gt;"",'Your debts'!$F$13&lt;&gt;"",'Your debts'!$F$10&lt;'Your debts'!$F$13),AB295,0)+IF(AND('Your debts'!$F$11&lt;&gt;"",'Your debts'!$F$13&lt;&gt;"",'Your debts'!$F$11&lt;'Your debts'!$F$13),AG295,0)+IF(AND('Your debts'!$F$12&lt;&gt;"",'Your debts'!$F$13&lt;&gt;"",'Your debts'!$F$12&lt;'Your debts'!$F$13),AL295,0)+IF(AND('Your debts'!$F$14&lt;&gt;"",'Your debts'!$F$13&lt;&gt;"",'Your debts'!$F$14&lt;'Your debts'!$F$13),AV295,0)+IF(AND('Your debts'!$F$15&lt;&gt;"",'Your debts'!$F$13&lt;&gt;"",'Your debts'!$F$15&lt;'Your debts'!$F$13),BA295,0)))))</f>
        <v/>
      </c>
      <c r="AS295" s="33">
        <f>AQ295-AR295</f>
        <v/>
      </c>
      <c r="AT295" s="33">
        <f>IF(AX294&lt;=0,0,ROUND(AX294*(1+'Your debts'!$D$14/1200),2))</f>
        <v/>
      </c>
      <c r="AU295" s="33">
        <f>IF(AT295&lt;=0,0,MIN('Your debts'!$E$14,AT295))</f>
        <v/>
      </c>
      <c r="AV295" s="33">
        <f>AT295-AU295</f>
        <v/>
      </c>
      <c r="AW295" s="33">
        <f>IF('Your debts'!$F$14="",0,MIN(AV295,MAX(0,MAX(0,'Your debts'!$C$19-(G295+L295+Q295+V295+AA295+AF295+AK295+AP295+AU295+AZ295))-(IF(AND('Your debts'!$F$6&lt;&gt;"",'Your debts'!$F$14&lt;&gt;"",'Your debts'!$F$6&lt;'Your debts'!$F$14),H295,0)+IF(AND('Your debts'!$F$7&lt;&gt;"",'Your debts'!$F$14&lt;&gt;"",'Your debts'!$F$7&lt;'Your debts'!$F$14),M295,0)+IF(AND('Your debts'!$F$8&lt;&gt;"",'Your debts'!$F$14&lt;&gt;"",'Your debts'!$F$8&lt;'Your debts'!$F$14),R295,0)+IF(AND('Your debts'!$F$9&lt;&gt;"",'Your debts'!$F$14&lt;&gt;"",'Your debts'!$F$9&lt;'Your debts'!$F$14),W295,0)+IF(AND('Your debts'!$F$10&lt;&gt;"",'Your debts'!$F$14&lt;&gt;"",'Your debts'!$F$10&lt;'Your debts'!$F$14),AB295,0)+IF(AND('Your debts'!$F$11&lt;&gt;"",'Your debts'!$F$14&lt;&gt;"",'Your debts'!$F$11&lt;'Your debts'!$F$14),AG295,0)+IF(AND('Your debts'!$F$12&lt;&gt;"",'Your debts'!$F$14&lt;&gt;"",'Your debts'!$F$12&lt;'Your debts'!$F$14),AL295,0)+IF(AND('Your debts'!$F$13&lt;&gt;"",'Your debts'!$F$14&lt;&gt;"",'Your debts'!$F$13&lt;'Your debts'!$F$14),AQ295,0)+IF(AND('Your debts'!$F$15&lt;&gt;"",'Your debts'!$F$14&lt;&gt;"",'Your debts'!$F$15&lt;'Your debts'!$F$14),BA295,0)))))</f>
        <v/>
      </c>
      <c r="AX295" s="33">
        <f>AV295-AW295</f>
        <v/>
      </c>
      <c r="AY295" s="33">
        <f>IF(BC294&lt;=0,0,ROUND(BC294*(1+'Your debts'!$D$15/1200),2))</f>
        <v/>
      </c>
      <c r="AZ295" s="33">
        <f>IF(AY295&lt;=0,0,MIN('Your debts'!$E$15,AY295))</f>
        <v/>
      </c>
      <c r="BA295" s="33">
        <f>AY295-AZ295</f>
        <v/>
      </c>
      <c r="BB295" s="33">
        <f>IF('Your debts'!$F$15="",0,MIN(BA295,MAX(0,MAX(0,'Your debts'!$C$19-(G295+L295+Q295+V295+AA295+AF295+AK295+AP295+AU295+AZ295))-(IF(AND('Your debts'!$F$6&lt;&gt;"",'Your debts'!$F$15&lt;&gt;"",'Your debts'!$F$6&lt;'Your debts'!$F$15),H295,0)+IF(AND('Your debts'!$F$7&lt;&gt;"",'Your debts'!$F$15&lt;&gt;"",'Your debts'!$F$7&lt;'Your debts'!$F$15),M295,0)+IF(AND('Your debts'!$F$8&lt;&gt;"",'Your debts'!$F$15&lt;&gt;"",'Your debts'!$F$8&lt;'Your debts'!$F$15),R295,0)+IF(AND('Your debts'!$F$9&lt;&gt;"",'Your debts'!$F$15&lt;&gt;"",'Your debts'!$F$9&lt;'Your debts'!$F$15),W295,0)+IF(AND('Your debts'!$F$10&lt;&gt;"",'Your debts'!$F$15&lt;&gt;"",'Your debts'!$F$10&lt;'Your debts'!$F$15),AB295,0)+IF(AND('Your debts'!$F$11&lt;&gt;"",'Your debts'!$F$15&lt;&gt;"",'Your debts'!$F$11&lt;'Your debts'!$F$15),AG295,0)+IF(AND('Your debts'!$F$12&lt;&gt;"",'Your debts'!$F$15&lt;&gt;"",'Your debts'!$F$12&lt;'Your debts'!$F$15),AL295,0)+IF(AND('Your debts'!$F$13&lt;&gt;"",'Your debts'!$F$15&lt;&gt;"",'Your debts'!$F$13&lt;'Your debts'!$F$15),AQ295,0)+IF(AND('Your debts'!$F$14&lt;&gt;"",'Your debts'!$F$15&lt;&gt;"",'Your debts'!$F$14&lt;'Your debts'!$F$15),AV295,0)))))</f>
        <v/>
      </c>
      <c r="BC295" s="33">
        <f>BA295-BB295</f>
        <v/>
      </c>
    </row>
    <row r="296">
      <c r="A296" s="30" t="n">
        <v>281</v>
      </c>
      <c r="B296" s="31">
        <f>EDATE($B$15,281)</f>
        <v/>
      </c>
      <c r="C296" s="32">
        <f>IF(J295&lt;=0,0,F296-J295)+IF(O295&lt;=0,0,K296-O295)+IF(T295&lt;=0,0,P296-T295)+IF(Y295&lt;=0,0,U296-Y295)+IF(AD295&lt;=0,0,Z296-AD295)+IF(AI295&lt;=0,0,AE296-AI295)+IF(AN295&lt;=0,0,AJ296-AN295)+IF(AS295&lt;=0,0,AO296-AS295)+IF(AX295&lt;=0,0,AT296-AX295)+IF(BC295&lt;=0,0,AY296-BC295)</f>
        <v/>
      </c>
      <c r="D296" s="32">
        <f>G296+I296+L296+N296+Q296+S296+V296+X296+AA296+AC296+AF296+AH296+AK296+AM296+AP296+AR296+AU296+AW296+AZ296+BB296</f>
        <v/>
      </c>
      <c r="E296" s="32">
        <f>J296+O296+T296+Y296+AD296+AI296+AN296+AS296+AX296+BC296</f>
        <v/>
      </c>
      <c r="F296" s="33">
        <f>IF(J295&lt;=0,0,ROUND(J295*(1+'Your debts'!$D$6/1200),2))</f>
        <v/>
      </c>
      <c r="G296" s="33">
        <f>IF(F296&lt;=0,0,MIN('Your debts'!$E$6,F296))</f>
        <v/>
      </c>
      <c r="H296" s="33">
        <f>F296-G296</f>
        <v/>
      </c>
      <c r="I296" s="33">
        <f>IF('Your debts'!$F$6="",0,MIN(H296,MAX(0,MAX(0,'Your debts'!$C$19-(G296+L296+Q296+V296+AA296+AF296+AK296+AP296+AU296+AZ296))-(IF(AND('Your debts'!$F$7&lt;&gt;"",'Your debts'!$F$6&lt;&gt;"",'Your debts'!$F$7&lt;'Your debts'!$F$6),M296,0)+IF(AND('Your debts'!$F$8&lt;&gt;"",'Your debts'!$F$6&lt;&gt;"",'Your debts'!$F$8&lt;'Your debts'!$F$6),R296,0)+IF(AND('Your debts'!$F$9&lt;&gt;"",'Your debts'!$F$6&lt;&gt;"",'Your debts'!$F$9&lt;'Your debts'!$F$6),W296,0)+IF(AND('Your debts'!$F$10&lt;&gt;"",'Your debts'!$F$6&lt;&gt;"",'Your debts'!$F$10&lt;'Your debts'!$F$6),AB296,0)+IF(AND('Your debts'!$F$11&lt;&gt;"",'Your debts'!$F$6&lt;&gt;"",'Your debts'!$F$11&lt;'Your debts'!$F$6),AG296,0)+IF(AND('Your debts'!$F$12&lt;&gt;"",'Your debts'!$F$6&lt;&gt;"",'Your debts'!$F$12&lt;'Your debts'!$F$6),AL296,0)+IF(AND('Your debts'!$F$13&lt;&gt;"",'Your debts'!$F$6&lt;&gt;"",'Your debts'!$F$13&lt;'Your debts'!$F$6),AQ296,0)+IF(AND('Your debts'!$F$14&lt;&gt;"",'Your debts'!$F$6&lt;&gt;"",'Your debts'!$F$14&lt;'Your debts'!$F$6),AV296,0)+IF(AND('Your debts'!$F$15&lt;&gt;"",'Your debts'!$F$6&lt;&gt;"",'Your debts'!$F$15&lt;'Your debts'!$F$6),BA296,0)))))</f>
        <v/>
      </c>
      <c r="J296" s="33">
        <f>H296-I296</f>
        <v/>
      </c>
      <c r="K296" s="33">
        <f>IF(O295&lt;=0,0,ROUND(O295*(1+'Your debts'!$D$7/1200),2))</f>
        <v/>
      </c>
      <c r="L296" s="33">
        <f>IF(K296&lt;=0,0,MIN('Your debts'!$E$7,K296))</f>
        <v/>
      </c>
      <c r="M296" s="33">
        <f>K296-L296</f>
        <v/>
      </c>
      <c r="N296" s="33">
        <f>IF('Your debts'!$F$7="",0,MIN(M296,MAX(0,MAX(0,'Your debts'!$C$19-(G296+L296+Q296+V296+AA296+AF296+AK296+AP296+AU296+AZ296))-(IF(AND('Your debts'!$F$6&lt;&gt;"",'Your debts'!$F$7&lt;&gt;"",'Your debts'!$F$6&lt;'Your debts'!$F$7),H296,0)+IF(AND('Your debts'!$F$8&lt;&gt;"",'Your debts'!$F$7&lt;&gt;"",'Your debts'!$F$8&lt;'Your debts'!$F$7),R296,0)+IF(AND('Your debts'!$F$9&lt;&gt;"",'Your debts'!$F$7&lt;&gt;"",'Your debts'!$F$9&lt;'Your debts'!$F$7),W296,0)+IF(AND('Your debts'!$F$10&lt;&gt;"",'Your debts'!$F$7&lt;&gt;"",'Your debts'!$F$10&lt;'Your debts'!$F$7),AB296,0)+IF(AND('Your debts'!$F$11&lt;&gt;"",'Your debts'!$F$7&lt;&gt;"",'Your debts'!$F$11&lt;'Your debts'!$F$7),AG296,0)+IF(AND('Your debts'!$F$12&lt;&gt;"",'Your debts'!$F$7&lt;&gt;"",'Your debts'!$F$12&lt;'Your debts'!$F$7),AL296,0)+IF(AND('Your debts'!$F$13&lt;&gt;"",'Your debts'!$F$7&lt;&gt;"",'Your debts'!$F$13&lt;'Your debts'!$F$7),AQ296,0)+IF(AND('Your debts'!$F$14&lt;&gt;"",'Your debts'!$F$7&lt;&gt;"",'Your debts'!$F$14&lt;'Your debts'!$F$7),AV296,0)+IF(AND('Your debts'!$F$15&lt;&gt;"",'Your debts'!$F$7&lt;&gt;"",'Your debts'!$F$15&lt;'Your debts'!$F$7),BA296,0)))))</f>
        <v/>
      </c>
      <c r="O296" s="33">
        <f>M296-N296</f>
        <v/>
      </c>
      <c r="P296" s="33">
        <f>IF(T295&lt;=0,0,ROUND(T295*(1+'Your debts'!$D$8/1200),2))</f>
        <v/>
      </c>
      <c r="Q296" s="33">
        <f>IF(P296&lt;=0,0,MIN('Your debts'!$E$8,P296))</f>
        <v/>
      </c>
      <c r="R296" s="33">
        <f>P296-Q296</f>
        <v/>
      </c>
      <c r="S296" s="33">
        <f>IF('Your debts'!$F$8="",0,MIN(R296,MAX(0,MAX(0,'Your debts'!$C$19-(G296+L296+Q296+V296+AA296+AF296+AK296+AP296+AU296+AZ296))-(IF(AND('Your debts'!$F$6&lt;&gt;"",'Your debts'!$F$8&lt;&gt;"",'Your debts'!$F$6&lt;'Your debts'!$F$8),H296,0)+IF(AND('Your debts'!$F$7&lt;&gt;"",'Your debts'!$F$8&lt;&gt;"",'Your debts'!$F$7&lt;'Your debts'!$F$8),M296,0)+IF(AND('Your debts'!$F$9&lt;&gt;"",'Your debts'!$F$8&lt;&gt;"",'Your debts'!$F$9&lt;'Your debts'!$F$8),W296,0)+IF(AND('Your debts'!$F$10&lt;&gt;"",'Your debts'!$F$8&lt;&gt;"",'Your debts'!$F$10&lt;'Your debts'!$F$8),AB296,0)+IF(AND('Your debts'!$F$11&lt;&gt;"",'Your debts'!$F$8&lt;&gt;"",'Your debts'!$F$11&lt;'Your debts'!$F$8),AG296,0)+IF(AND('Your debts'!$F$12&lt;&gt;"",'Your debts'!$F$8&lt;&gt;"",'Your debts'!$F$12&lt;'Your debts'!$F$8),AL296,0)+IF(AND('Your debts'!$F$13&lt;&gt;"",'Your debts'!$F$8&lt;&gt;"",'Your debts'!$F$13&lt;'Your debts'!$F$8),AQ296,0)+IF(AND('Your debts'!$F$14&lt;&gt;"",'Your debts'!$F$8&lt;&gt;"",'Your debts'!$F$14&lt;'Your debts'!$F$8),AV296,0)+IF(AND('Your debts'!$F$15&lt;&gt;"",'Your debts'!$F$8&lt;&gt;"",'Your debts'!$F$15&lt;'Your debts'!$F$8),BA296,0)))))</f>
        <v/>
      </c>
      <c r="T296" s="33">
        <f>R296-S296</f>
        <v/>
      </c>
      <c r="U296" s="33">
        <f>IF(Y295&lt;=0,0,ROUND(Y295*(1+'Your debts'!$D$9/1200),2))</f>
        <v/>
      </c>
      <c r="V296" s="33">
        <f>IF(U296&lt;=0,0,MIN('Your debts'!$E$9,U296))</f>
        <v/>
      </c>
      <c r="W296" s="33">
        <f>U296-V296</f>
        <v/>
      </c>
      <c r="X296" s="33">
        <f>IF('Your debts'!$F$9="",0,MIN(W296,MAX(0,MAX(0,'Your debts'!$C$19-(G296+L296+Q296+V296+AA296+AF296+AK296+AP296+AU296+AZ296))-(IF(AND('Your debts'!$F$6&lt;&gt;"",'Your debts'!$F$9&lt;&gt;"",'Your debts'!$F$6&lt;'Your debts'!$F$9),H296,0)+IF(AND('Your debts'!$F$7&lt;&gt;"",'Your debts'!$F$9&lt;&gt;"",'Your debts'!$F$7&lt;'Your debts'!$F$9),M296,0)+IF(AND('Your debts'!$F$8&lt;&gt;"",'Your debts'!$F$9&lt;&gt;"",'Your debts'!$F$8&lt;'Your debts'!$F$9),R296,0)+IF(AND('Your debts'!$F$10&lt;&gt;"",'Your debts'!$F$9&lt;&gt;"",'Your debts'!$F$10&lt;'Your debts'!$F$9),AB296,0)+IF(AND('Your debts'!$F$11&lt;&gt;"",'Your debts'!$F$9&lt;&gt;"",'Your debts'!$F$11&lt;'Your debts'!$F$9),AG296,0)+IF(AND('Your debts'!$F$12&lt;&gt;"",'Your debts'!$F$9&lt;&gt;"",'Your debts'!$F$12&lt;'Your debts'!$F$9),AL296,0)+IF(AND('Your debts'!$F$13&lt;&gt;"",'Your debts'!$F$9&lt;&gt;"",'Your debts'!$F$13&lt;'Your debts'!$F$9),AQ296,0)+IF(AND('Your debts'!$F$14&lt;&gt;"",'Your debts'!$F$9&lt;&gt;"",'Your debts'!$F$14&lt;'Your debts'!$F$9),AV296,0)+IF(AND('Your debts'!$F$15&lt;&gt;"",'Your debts'!$F$9&lt;&gt;"",'Your debts'!$F$15&lt;'Your debts'!$F$9),BA296,0)))))</f>
        <v/>
      </c>
      <c r="Y296" s="33">
        <f>W296-X296</f>
        <v/>
      </c>
      <c r="Z296" s="33">
        <f>IF(AD295&lt;=0,0,ROUND(AD295*(1+'Your debts'!$D$10/1200),2))</f>
        <v/>
      </c>
      <c r="AA296" s="33">
        <f>IF(Z296&lt;=0,0,MIN('Your debts'!$E$10,Z296))</f>
        <v/>
      </c>
      <c r="AB296" s="33">
        <f>Z296-AA296</f>
        <v/>
      </c>
      <c r="AC296" s="33">
        <f>IF('Your debts'!$F$10="",0,MIN(AB296,MAX(0,MAX(0,'Your debts'!$C$19-(G296+L296+Q296+V296+AA296+AF296+AK296+AP296+AU296+AZ296))-(IF(AND('Your debts'!$F$6&lt;&gt;"",'Your debts'!$F$10&lt;&gt;"",'Your debts'!$F$6&lt;'Your debts'!$F$10),H296,0)+IF(AND('Your debts'!$F$7&lt;&gt;"",'Your debts'!$F$10&lt;&gt;"",'Your debts'!$F$7&lt;'Your debts'!$F$10),M296,0)+IF(AND('Your debts'!$F$8&lt;&gt;"",'Your debts'!$F$10&lt;&gt;"",'Your debts'!$F$8&lt;'Your debts'!$F$10),R296,0)+IF(AND('Your debts'!$F$9&lt;&gt;"",'Your debts'!$F$10&lt;&gt;"",'Your debts'!$F$9&lt;'Your debts'!$F$10),W296,0)+IF(AND('Your debts'!$F$11&lt;&gt;"",'Your debts'!$F$10&lt;&gt;"",'Your debts'!$F$11&lt;'Your debts'!$F$10),AG296,0)+IF(AND('Your debts'!$F$12&lt;&gt;"",'Your debts'!$F$10&lt;&gt;"",'Your debts'!$F$12&lt;'Your debts'!$F$10),AL296,0)+IF(AND('Your debts'!$F$13&lt;&gt;"",'Your debts'!$F$10&lt;&gt;"",'Your debts'!$F$13&lt;'Your debts'!$F$10),AQ296,0)+IF(AND('Your debts'!$F$14&lt;&gt;"",'Your debts'!$F$10&lt;&gt;"",'Your debts'!$F$14&lt;'Your debts'!$F$10),AV296,0)+IF(AND('Your debts'!$F$15&lt;&gt;"",'Your debts'!$F$10&lt;&gt;"",'Your debts'!$F$15&lt;'Your debts'!$F$10),BA296,0)))))</f>
        <v/>
      </c>
      <c r="AD296" s="33">
        <f>AB296-AC296</f>
        <v/>
      </c>
      <c r="AE296" s="33">
        <f>IF(AI295&lt;=0,0,ROUND(AI295*(1+'Your debts'!$D$11/1200),2))</f>
        <v/>
      </c>
      <c r="AF296" s="33">
        <f>IF(AE296&lt;=0,0,MIN('Your debts'!$E$11,AE296))</f>
        <v/>
      </c>
      <c r="AG296" s="33">
        <f>AE296-AF296</f>
        <v/>
      </c>
      <c r="AH296" s="33">
        <f>IF('Your debts'!$F$11="",0,MIN(AG296,MAX(0,MAX(0,'Your debts'!$C$19-(G296+L296+Q296+V296+AA296+AF296+AK296+AP296+AU296+AZ296))-(IF(AND('Your debts'!$F$6&lt;&gt;"",'Your debts'!$F$11&lt;&gt;"",'Your debts'!$F$6&lt;'Your debts'!$F$11),H296,0)+IF(AND('Your debts'!$F$7&lt;&gt;"",'Your debts'!$F$11&lt;&gt;"",'Your debts'!$F$7&lt;'Your debts'!$F$11),M296,0)+IF(AND('Your debts'!$F$8&lt;&gt;"",'Your debts'!$F$11&lt;&gt;"",'Your debts'!$F$8&lt;'Your debts'!$F$11),R296,0)+IF(AND('Your debts'!$F$9&lt;&gt;"",'Your debts'!$F$11&lt;&gt;"",'Your debts'!$F$9&lt;'Your debts'!$F$11),W296,0)+IF(AND('Your debts'!$F$10&lt;&gt;"",'Your debts'!$F$11&lt;&gt;"",'Your debts'!$F$10&lt;'Your debts'!$F$11),AB296,0)+IF(AND('Your debts'!$F$12&lt;&gt;"",'Your debts'!$F$11&lt;&gt;"",'Your debts'!$F$12&lt;'Your debts'!$F$11),AL296,0)+IF(AND('Your debts'!$F$13&lt;&gt;"",'Your debts'!$F$11&lt;&gt;"",'Your debts'!$F$13&lt;'Your debts'!$F$11),AQ296,0)+IF(AND('Your debts'!$F$14&lt;&gt;"",'Your debts'!$F$11&lt;&gt;"",'Your debts'!$F$14&lt;'Your debts'!$F$11),AV296,0)+IF(AND('Your debts'!$F$15&lt;&gt;"",'Your debts'!$F$11&lt;&gt;"",'Your debts'!$F$15&lt;'Your debts'!$F$11),BA296,0)))))</f>
        <v/>
      </c>
      <c r="AI296" s="33">
        <f>AG296-AH296</f>
        <v/>
      </c>
      <c r="AJ296" s="33">
        <f>IF(AN295&lt;=0,0,ROUND(AN295*(1+'Your debts'!$D$12/1200),2))</f>
        <v/>
      </c>
      <c r="AK296" s="33">
        <f>IF(AJ296&lt;=0,0,MIN('Your debts'!$E$12,AJ296))</f>
        <v/>
      </c>
      <c r="AL296" s="33">
        <f>AJ296-AK296</f>
        <v/>
      </c>
      <c r="AM296" s="33">
        <f>IF('Your debts'!$F$12="",0,MIN(AL296,MAX(0,MAX(0,'Your debts'!$C$19-(G296+L296+Q296+V296+AA296+AF296+AK296+AP296+AU296+AZ296))-(IF(AND('Your debts'!$F$6&lt;&gt;"",'Your debts'!$F$12&lt;&gt;"",'Your debts'!$F$6&lt;'Your debts'!$F$12),H296,0)+IF(AND('Your debts'!$F$7&lt;&gt;"",'Your debts'!$F$12&lt;&gt;"",'Your debts'!$F$7&lt;'Your debts'!$F$12),M296,0)+IF(AND('Your debts'!$F$8&lt;&gt;"",'Your debts'!$F$12&lt;&gt;"",'Your debts'!$F$8&lt;'Your debts'!$F$12),R296,0)+IF(AND('Your debts'!$F$9&lt;&gt;"",'Your debts'!$F$12&lt;&gt;"",'Your debts'!$F$9&lt;'Your debts'!$F$12),W296,0)+IF(AND('Your debts'!$F$10&lt;&gt;"",'Your debts'!$F$12&lt;&gt;"",'Your debts'!$F$10&lt;'Your debts'!$F$12),AB296,0)+IF(AND('Your debts'!$F$11&lt;&gt;"",'Your debts'!$F$12&lt;&gt;"",'Your debts'!$F$11&lt;'Your debts'!$F$12),AG296,0)+IF(AND('Your debts'!$F$13&lt;&gt;"",'Your debts'!$F$12&lt;&gt;"",'Your debts'!$F$13&lt;'Your debts'!$F$12),AQ296,0)+IF(AND('Your debts'!$F$14&lt;&gt;"",'Your debts'!$F$12&lt;&gt;"",'Your debts'!$F$14&lt;'Your debts'!$F$12),AV296,0)+IF(AND('Your debts'!$F$15&lt;&gt;"",'Your debts'!$F$12&lt;&gt;"",'Your debts'!$F$15&lt;'Your debts'!$F$12),BA296,0)))))</f>
        <v/>
      </c>
      <c r="AN296" s="33">
        <f>AL296-AM296</f>
        <v/>
      </c>
      <c r="AO296" s="33">
        <f>IF(AS295&lt;=0,0,ROUND(AS295*(1+'Your debts'!$D$13/1200),2))</f>
        <v/>
      </c>
      <c r="AP296" s="33">
        <f>IF(AO296&lt;=0,0,MIN('Your debts'!$E$13,AO296))</f>
        <v/>
      </c>
      <c r="AQ296" s="33">
        <f>AO296-AP296</f>
        <v/>
      </c>
      <c r="AR296" s="33">
        <f>IF('Your debts'!$F$13="",0,MIN(AQ296,MAX(0,MAX(0,'Your debts'!$C$19-(G296+L296+Q296+V296+AA296+AF296+AK296+AP296+AU296+AZ296))-(IF(AND('Your debts'!$F$6&lt;&gt;"",'Your debts'!$F$13&lt;&gt;"",'Your debts'!$F$6&lt;'Your debts'!$F$13),H296,0)+IF(AND('Your debts'!$F$7&lt;&gt;"",'Your debts'!$F$13&lt;&gt;"",'Your debts'!$F$7&lt;'Your debts'!$F$13),M296,0)+IF(AND('Your debts'!$F$8&lt;&gt;"",'Your debts'!$F$13&lt;&gt;"",'Your debts'!$F$8&lt;'Your debts'!$F$13),R296,0)+IF(AND('Your debts'!$F$9&lt;&gt;"",'Your debts'!$F$13&lt;&gt;"",'Your debts'!$F$9&lt;'Your debts'!$F$13),W296,0)+IF(AND('Your debts'!$F$10&lt;&gt;"",'Your debts'!$F$13&lt;&gt;"",'Your debts'!$F$10&lt;'Your debts'!$F$13),AB296,0)+IF(AND('Your debts'!$F$11&lt;&gt;"",'Your debts'!$F$13&lt;&gt;"",'Your debts'!$F$11&lt;'Your debts'!$F$13),AG296,0)+IF(AND('Your debts'!$F$12&lt;&gt;"",'Your debts'!$F$13&lt;&gt;"",'Your debts'!$F$12&lt;'Your debts'!$F$13),AL296,0)+IF(AND('Your debts'!$F$14&lt;&gt;"",'Your debts'!$F$13&lt;&gt;"",'Your debts'!$F$14&lt;'Your debts'!$F$13),AV296,0)+IF(AND('Your debts'!$F$15&lt;&gt;"",'Your debts'!$F$13&lt;&gt;"",'Your debts'!$F$15&lt;'Your debts'!$F$13),BA296,0)))))</f>
        <v/>
      </c>
      <c r="AS296" s="33">
        <f>AQ296-AR296</f>
        <v/>
      </c>
      <c r="AT296" s="33">
        <f>IF(AX295&lt;=0,0,ROUND(AX295*(1+'Your debts'!$D$14/1200),2))</f>
        <v/>
      </c>
      <c r="AU296" s="33">
        <f>IF(AT296&lt;=0,0,MIN('Your debts'!$E$14,AT296))</f>
        <v/>
      </c>
      <c r="AV296" s="33">
        <f>AT296-AU296</f>
        <v/>
      </c>
      <c r="AW296" s="33">
        <f>IF('Your debts'!$F$14="",0,MIN(AV296,MAX(0,MAX(0,'Your debts'!$C$19-(G296+L296+Q296+V296+AA296+AF296+AK296+AP296+AU296+AZ296))-(IF(AND('Your debts'!$F$6&lt;&gt;"",'Your debts'!$F$14&lt;&gt;"",'Your debts'!$F$6&lt;'Your debts'!$F$14),H296,0)+IF(AND('Your debts'!$F$7&lt;&gt;"",'Your debts'!$F$14&lt;&gt;"",'Your debts'!$F$7&lt;'Your debts'!$F$14),M296,0)+IF(AND('Your debts'!$F$8&lt;&gt;"",'Your debts'!$F$14&lt;&gt;"",'Your debts'!$F$8&lt;'Your debts'!$F$14),R296,0)+IF(AND('Your debts'!$F$9&lt;&gt;"",'Your debts'!$F$14&lt;&gt;"",'Your debts'!$F$9&lt;'Your debts'!$F$14),W296,0)+IF(AND('Your debts'!$F$10&lt;&gt;"",'Your debts'!$F$14&lt;&gt;"",'Your debts'!$F$10&lt;'Your debts'!$F$14),AB296,0)+IF(AND('Your debts'!$F$11&lt;&gt;"",'Your debts'!$F$14&lt;&gt;"",'Your debts'!$F$11&lt;'Your debts'!$F$14),AG296,0)+IF(AND('Your debts'!$F$12&lt;&gt;"",'Your debts'!$F$14&lt;&gt;"",'Your debts'!$F$12&lt;'Your debts'!$F$14),AL296,0)+IF(AND('Your debts'!$F$13&lt;&gt;"",'Your debts'!$F$14&lt;&gt;"",'Your debts'!$F$13&lt;'Your debts'!$F$14),AQ296,0)+IF(AND('Your debts'!$F$15&lt;&gt;"",'Your debts'!$F$14&lt;&gt;"",'Your debts'!$F$15&lt;'Your debts'!$F$14),BA296,0)))))</f>
        <v/>
      </c>
      <c r="AX296" s="33">
        <f>AV296-AW296</f>
        <v/>
      </c>
      <c r="AY296" s="33">
        <f>IF(BC295&lt;=0,0,ROUND(BC295*(1+'Your debts'!$D$15/1200),2))</f>
        <v/>
      </c>
      <c r="AZ296" s="33">
        <f>IF(AY296&lt;=0,0,MIN('Your debts'!$E$15,AY296))</f>
        <v/>
      </c>
      <c r="BA296" s="33">
        <f>AY296-AZ296</f>
        <v/>
      </c>
      <c r="BB296" s="33">
        <f>IF('Your debts'!$F$15="",0,MIN(BA296,MAX(0,MAX(0,'Your debts'!$C$19-(G296+L296+Q296+V296+AA296+AF296+AK296+AP296+AU296+AZ296))-(IF(AND('Your debts'!$F$6&lt;&gt;"",'Your debts'!$F$15&lt;&gt;"",'Your debts'!$F$6&lt;'Your debts'!$F$15),H296,0)+IF(AND('Your debts'!$F$7&lt;&gt;"",'Your debts'!$F$15&lt;&gt;"",'Your debts'!$F$7&lt;'Your debts'!$F$15),M296,0)+IF(AND('Your debts'!$F$8&lt;&gt;"",'Your debts'!$F$15&lt;&gt;"",'Your debts'!$F$8&lt;'Your debts'!$F$15),R296,0)+IF(AND('Your debts'!$F$9&lt;&gt;"",'Your debts'!$F$15&lt;&gt;"",'Your debts'!$F$9&lt;'Your debts'!$F$15),W296,0)+IF(AND('Your debts'!$F$10&lt;&gt;"",'Your debts'!$F$15&lt;&gt;"",'Your debts'!$F$10&lt;'Your debts'!$F$15),AB296,0)+IF(AND('Your debts'!$F$11&lt;&gt;"",'Your debts'!$F$15&lt;&gt;"",'Your debts'!$F$11&lt;'Your debts'!$F$15),AG296,0)+IF(AND('Your debts'!$F$12&lt;&gt;"",'Your debts'!$F$15&lt;&gt;"",'Your debts'!$F$12&lt;'Your debts'!$F$15),AL296,0)+IF(AND('Your debts'!$F$13&lt;&gt;"",'Your debts'!$F$15&lt;&gt;"",'Your debts'!$F$13&lt;'Your debts'!$F$15),AQ296,0)+IF(AND('Your debts'!$F$14&lt;&gt;"",'Your debts'!$F$15&lt;&gt;"",'Your debts'!$F$14&lt;'Your debts'!$F$15),AV296,0)))))</f>
        <v/>
      </c>
      <c r="BC296" s="33">
        <f>BA296-BB296</f>
        <v/>
      </c>
    </row>
    <row r="297">
      <c r="A297" s="30" t="n">
        <v>282</v>
      </c>
      <c r="B297" s="31">
        <f>EDATE($B$15,282)</f>
        <v/>
      </c>
      <c r="C297" s="32">
        <f>IF(J296&lt;=0,0,F297-J296)+IF(O296&lt;=0,0,K297-O296)+IF(T296&lt;=0,0,P297-T296)+IF(Y296&lt;=0,0,U297-Y296)+IF(AD296&lt;=0,0,Z297-AD296)+IF(AI296&lt;=0,0,AE297-AI296)+IF(AN296&lt;=0,0,AJ297-AN296)+IF(AS296&lt;=0,0,AO297-AS296)+IF(AX296&lt;=0,0,AT297-AX296)+IF(BC296&lt;=0,0,AY297-BC296)</f>
        <v/>
      </c>
      <c r="D297" s="32">
        <f>G297+I297+L297+N297+Q297+S297+V297+X297+AA297+AC297+AF297+AH297+AK297+AM297+AP297+AR297+AU297+AW297+AZ297+BB297</f>
        <v/>
      </c>
      <c r="E297" s="32">
        <f>J297+O297+T297+Y297+AD297+AI297+AN297+AS297+AX297+BC297</f>
        <v/>
      </c>
      <c r="F297" s="33">
        <f>IF(J296&lt;=0,0,ROUND(J296*(1+'Your debts'!$D$6/1200),2))</f>
        <v/>
      </c>
      <c r="G297" s="33">
        <f>IF(F297&lt;=0,0,MIN('Your debts'!$E$6,F297))</f>
        <v/>
      </c>
      <c r="H297" s="33">
        <f>F297-G297</f>
        <v/>
      </c>
      <c r="I297" s="33">
        <f>IF('Your debts'!$F$6="",0,MIN(H297,MAX(0,MAX(0,'Your debts'!$C$19-(G297+L297+Q297+V297+AA297+AF297+AK297+AP297+AU297+AZ297))-(IF(AND('Your debts'!$F$7&lt;&gt;"",'Your debts'!$F$6&lt;&gt;"",'Your debts'!$F$7&lt;'Your debts'!$F$6),M297,0)+IF(AND('Your debts'!$F$8&lt;&gt;"",'Your debts'!$F$6&lt;&gt;"",'Your debts'!$F$8&lt;'Your debts'!$F$6),R297,0)+IF(AND('Your debts'!$F$9&lt;&gt;"",'Your debts'!$F$6&lt;&gt;"",'Your debts'!$F$9&lt;'Your debts'!$F$6),W297,0)+IF(AND('Your debts'!$F$10&lt;&gt;"",'Your debts'!$F$6&lt;&gt;"",'Your debts'!$F$10&lt;'Your debts'!$F$6),AB297,0)+IF(AND('Your debts'!$F$11&lt;&gt;"",'Your debts'!$F$6&lt;&gt;"",'Your debts'!$F$11&lt;'Your debts'!$F$6),AG297,0)+IF(AND('Your debts'!$F$12&lt;&gt;"",'Your debts'!$F$6&lt;&gt;"",'Your debts'!$F$12&lt;'Your debts'!$F$6),AL297,0)+IF(AND('Your debts'!$F$13&lt;&gt;"",'Your debts'!$F$6&lt;&gt;"",'Your debts'!$F$13&lt;'Your debts'!$F$6),AQ297,0)+IF(AND('Your debts'!$F$14&lt;&gt;"",'Your debts'!$F$6&lt;&gt;"",'Your debts'!$F$14&lt;'Your debts'!$F$6),AV297,0)+IF(AND('Your debts'!$F$15&lt;&gt;"",'Your debts'!$F$6&lt;&gt;"",'Your debts'!$F$15&lt;'Your debts'!$F$6),BA297,0)))))</f>
        <v/>
      </c>
      <c r="J297" s="33">
        <f>H297-I297</f>
        <v/>
      </c>
      <c r="K297" s="33">
        <f>IF(O296&lt;=0,0,ROUND(O296*(1+'Your debts'!$D$7/1200),2))</f>
        <v/>
      </c>
      <c r="L297" s="33">
        <f>IF(K297&lt;=0,0,MIN('Your debts'!$E$7,K297))</f>
        <v/>
      </c>
      <c r="M297" s="33">
        <f>K297-L297</f>
        <v/>
      </c>
      <c r="N297" s="33">
        <f>IF('Your debts'!$F$7="",0,MIN(M297,MAX(0,MAX(0,'Your debts'!$C$19-(G297+L297+Q297+V297+AA297+AF297+AK297+AP297+AU297+AZ297))-(IF(AND('Your debts'!$F$6&lt;&gt;"",'Your debts'!$F$7&lt;&gt;"",'Your debts'!$F$6&lt;'Your debts'!$F$7),H297,0)+IF(AND('Your debts'!$F$8&lt;&gt;"",'Your debts'!$F$7&lt;&gt;"",'Your debts'!$F$8&lt;'Your debts'!$F$7),R297,0)+IF(AND('Your debts'!$F$9&lt;&gt;"",'Your debts'!$F$7&lt;&gt;"",'Your debts'!$F$9&lt;'Your debts'!$F$7),W297,0)+IF(AND('Your debts'!$F$10&lt;&gt;"",'Your debts'!$F$7&lt;&gt;"",'Your debts'!$F$10&lt;'Your debts'!$F$7),AB297,0)+IF(AND('Your debts'!$F$11&lt;&gt;"",'Your debts'!$F$7&lt;&gt;"",'Your debts'!$F$11&lt;'Your debts'!$F$7),AG297,0)+IF(AND('Your debts'!$F$12&lt;&gt;"",'Your debts'!$F$7&lt;&gt;"",'Your debts'!$F$12&lt;'Your debts'!$F$7),AL297,0)+IF(AND('Your debts'!$F$13&lt;&gt;"",'Your debts'!$F$7&lt;&gt;"",'Your debts'!$F$13&lt;'Your debts'!$F$7),AQ297,0)+IF(AND('Your debts'!$F$14&lt;&gt;"",'Your debts'!$F$7&lt;&gt;"",'Your debts'!$F$14&lt;'Your debts'!$F$7),AV297,0)+IF(AND('Your debts'!$F$15&lt;&gt;"",'Your debts'!$F$7&lt;&gt;"",'Your debts'!$F$15&lt;'Your debts'!$F$7),BA297,0)))))</f>
        <v/>
      </c>
      <c r="O297" s="33">
        <f>M297-N297</f>
        <v/>
      </c>
      <c r="P297" s="33">
        <f>IF(T296&lt;=0,0,ROUND(T296*(1+'Your debts'!$D$8/1200),2))</f>
        <v/>
      </c>
      <c r="Q297" s="33">
        <f>IF(P297&lt;=0,0,MIN('Your debts'!$E$8,P297))</f>
        <v/>
      </c>
      <c r="R297" s="33">
        <f>P297-Q297</f>
        <v/>
      </c>
      <c r="S297" s="33">
        <f>IF('Your debts'!$F$8="",0,MIN(R297,MAX(0,MAX(0,'Your debts'!$C$19-(G297+L297+Q297+V297+AA297+AF297+AK297+AP297+AU297+AZ297))-(IF(AND('Your debts'!$F$6&lt;&gt;"",'Your debts'!$F$8&lt;&gt;"",'Your debts'!$F$6&lt;'Your debts'!$F$8),H297,0)+IF(AND('Your debts'!$F$7&lt;&gt;"",'Your debts'!$F$8&lt;&gt;"",'Your debts'!$F$7&lt;'Your debts'!$F$8),M297,0)+IF(AND('Your debts'!$F$9&lt;&gt;"",'Your debts'!$F$8&lt;&gt;"",'Your debts'!$F$9&lt;'Your debts'!$F$8),W297,0)+IF(AND('Your debts'!$F$10&lt;&gt;"",'Your debts'!$F$8&lt;&gt;"",'Your debts'!$F$10&lt;'Your debts'!$F$8),AB297,0)+IF(AND('Your debts'!$F$11&lt;&gt;"",'Your debts'!$F$8&lt;&gt;"",'Your debts'!$F$11&lt;'Your debts'!$F$8),AG297,0)+IF(AND('Your debts'!$F$12&lt;&gt;"",'Your debts'!$F$8&lt;&gt;"",'Your debts'!$F$12&lt;'Your debts'!$F$8),AL297,0)+IF(AND('Your debts'!$F$13&lt;&gt;"",'Your debts'!$F$8&lt;&gt;"",'Your debts'!$F$13&lt;'Your debts'!$F$8),AQ297,0)+IF(AND('Your debts'!$F$14&lt;&gt;"",'Your debts'!$F$8&lt;&gt;"",'Your debts'!$F$14&lt;'Your debts'!$F$8),AV297,0)+IF(AND('Your debts'!$F$15&lt;&gt;"",'Your debts'!$F$8&lt;&gt;"",'Your debts'!$F$15&lt;'Your debts'!$F$8),BA297,0)))))</f>
        <v/>
      </c>
      <c r="T297" s="33">
        <f>R297-S297</f>
        <v/>
      </c>
      <c r="U297" s="33">
        <f>IF(Y296&lt;=0,0,ROUND(Y296*(1+'Your debts'!$D$9/1200),2))</f>
        <v/>
      </c>
      <c r="V297" s="33">
        <f>IF(U297&lt;=0,0,MIN('Your debts'!$E$9,U297))</f>
        <v/>
      </c>
      <c r="W297" s="33">
        <f>U297-V297</f>
        <v/>
      </c>
      <c r="X297" s="33">
        <f>IF('Your debts'!$F$9="",0,MIN(W297,MAX(0,MAX(0,'Your debts'!$C$19-(G297+L297+Q297+V297+AA297+AF297+AK297+AP297+AU297+AZ297))-(IF(AND('Your debts'!$F$6&lt;&gt;"",'Your debts'!$F$9&lt;&gt;"",'Your debts'!$F$6&lt;'Your debts'!$F$9),H297,0)+IF(AND('Your debts'!$F$7&lt;&gt;"",'Your debts'!$F$9&lt;&gt;"",'Your debts'!$F$7&lt;'Your debts'!$F$9),M297,0)+IF(AND('Your debts'!$F$8&lt;&gt;"",'Your debts'!$F$9&lt;&gt;"",'Your debts'!$F$8&lt;'Your debts'!$F$9),R297,0)+IF(AND('Your debts'!$F$10&lt;&gt;"",'Your debts'!$F$9&lt;&gt;"",'Your debts'!$F$10&lt;'Your debts'!$F$9),AB297,0)+IF(AND('Your debts'!$F$11&lt;&gt;"",'Your debts'!$F$9&lt;&gt;"",'Your debts'!$F$11&lt;'Your debts'!$F$9),AG297,0)+IF(AND('Your debts'!$F$12&lt;&gt;"",'Your debts'!$F$9&lt;&gt;"",'Your debts'!$F$12&lt;'Your debts'!$F$9),AL297,0)+IF(AND('Your debts'!$F$13&lt;&gt;"",'Your debts'!$F$9&lt;&gt;"",'Your debts'!$F$13&lt;'Your debts'!$F$9),AQ297,0)+IF(AND('Your debts'!$F$14&lt;&gt;"",'Your debts'!$F$9&lt;&gt;"",'Your debts'!$F$14&lt;'Your debts'!$F$9),AV297,0)+IF(AND('Your debts'!$F$15&lt;&gt;"",'Your debts'!$F$9&lt;&gt;"",'Your debts'!$F$15&lt;'Your debts'!$F$9),BA297,0)))))</f>
        <v/>
      </c>
      <c r="Y297" s="33">
        <f>W297-X297</f>
        <v/>
      </c>
      <c r="Z297" s="33">
        <f>IF(AD296&lt;=0,0,ROUND(AD296*(1+'Your debts'!$D$10/1200),2))</f>
        <v/>
      </c>
      <c r="AA297" s="33">
        <f>IF(Z297&lt;=0,0,MIN('Your debts'!$E$10,Z297))</f>
        <v/>
      </c>
      <c r="AB297" s="33">
        <f>Z297-AA297</f>
        <v/>
      </c>
      <c r="AC297" s="33">
        <f>IF('Your debts'!$F$10="",0,MIN(AB297,MAX(0,MAX(0,'Your debts'!$C$19-(G297+L297+Q297+V297+AA297+AF297+AK297+AP297+AU297+AZ297))-(IF(AND('Your debts'!$F$6&lt;&gt;"",'Your debts'!$F$10&lt;&gt;"",'Your debts'!$F$6&lt;'Your debts'!$F$10),H297,0)+IF(AND('Your debts'!$F$7&lt;&gt;"",'Your debts'!$F$10&lt;&gt;"",'Your debts'!$F$7&lt;'Your debts'!$F$10),M297,0)+IF(AND('Your debts'!$F$8&lt;&gt;"",'Your debts'!$F$10&lt;&gt;"",'Your debts'!$F$8&lt;'Your debts'!$F$10),R297,0)+IF(AND('Your debts'!$F$9&lt;&gt;"",'Your debts'!$F$10&lt;&gt;"",'Your debts'!$F$9&lt;'Your debts'!$F$10),W297,0)+IF(AND('Your debts'!$F$11&lt;&gt;"",'Your debts'!$F$10&lt;&gt;"",'Your debts'!$F$11&lt;'Your debts'!$F$10),AG297,0)+IF(AND('Your debts'!$F$12&lt;&gt;"",'Your debts'!$F$10&lt;&gt;"",'Your debts'!$F$12&lt;'Your debts'!$F$10),AL297,0)+IF(AND('Your debts'!$F$13&lt;&gt;"",'Your debts'!$F$10&lt;&gt;"",'Your debts'!$F$13&lt;'Your debts'!$F$10),AQ297,0)+IF(AND('Your debts'!$F$14&lt;&gt;"",'Your debts'!$F$10&lt;&gt;"",'Your debts'!$F$14&lt;'Your debts'!$F$10),AV297,0)+IF(AND('Your debts'!$F$15&lt;&gt;"",'Your debts'!$F$10&lt;&gt;"",'Your debts'!$F$15&lt;'Your debts'!$F$10),BA297,0)))))</f>
        <v/>
      </c>
      <c r="AD297" s="33">
        <f>AB297-AC297</f>
        <v/>
      </c>
      <c r="AE297" s="33">
        <f>IF(AI296&lt;=0,0,ROUND(AI296*(1+'Your debts'!$D$11/1200),2))</f>
        <v/>
      </c>
      <c r="AF297" s="33">
        <f>IF(AE297&lt;=0,0,MIN('Your debts'!$E$11,AE297))</f>
        <v/>
      </c>
      <c r="AG297" s="33">
        <f>AE297-AF297</f>
        <v/>
      </c>
      <c r="AH297" s="33">
        <f>IF('Your debts'!$F$11="",0,MIN(AG297,MAX(0,MAX(0,'Your debts'!$C$19-(G297+L297+Q297+V297+AA297+AF297+AK297+AP297+AU297+AZ297))-(IF(AND('Your debts'!$F$6&lt;&gt;"",'Your debts'!$F$11&lt;&gt;"",'Your debts'!$F$6&lt;'Your debts'!$F$11),H297,0)+IF(AND('Your debts'!$F$7&lt;&gt;"",'Your debts'!$F$11&lt;&gt;"",'Your debts'!$F$7&lt;'Your debts'!$F$11),M297,0)+IF(AND('Your debts'!$F$8&lt;&gt;"",'Your debts'!$F$11&lt;&gt;"",'Your debts'!$F$8&lt;'Your debts'!$F$11),R297,0)+IF(AND('Your debts'!$F$9&lt;&gt;"",'Your debts'!$F$11&lt;&gt;"",'Your debts'!$F$9&lt;'Your debts'!$F$11),W297,0)+IF(AND('Your debts'!$F$10&lt;&gt;"",'Your debts'!$F$11&lt;&gt;"",'Your debts'!$F$10&lt;'Your debts'!$F$11),AB297,0)+IF(AND('Your debts'!$F$12&lt;&gt;"",'Your debts'!$F$11&lt;&gt;"",'Your debts'!$F$12&lt;'Your debts'!$F$11),AL297,0)+IF(AND('Your debts'!$F$13&lt;&gt;"",'Your debts'!$F$11&lt;&gt;"",'Your debts'!$F$13&lt;'Your debts'!$F$11),AQ297,0)+IF(AND('Your debts'!$F$14&lt;&gt;"",'Your debts'!$F$11&lt;&gt;"",'Your debts'!$F$14&lt;'Your debts'!$F$11),AV297,0)+IF(AND('Your debts'!$F$15&lt;&gt;"",'Your debts'!$F$11&lt;&gt;"",'Your debts'!$F$15&lt;'Your debts'!$F$11),BA297,0)))))</f>
        <v/>
      </c>
      <c r="AI297" s="33">
        <f>AG297-AH297</f>
        <v/>
      </c>
      <c r="AJ297" s="33">
        <f>IF(AN296&lt;=0,0,ROUND(AN296*(1+'Your debts'!$D$12/1200),2))</f>
        <v/>
      </c>
      <c r="AK297" s="33">
        <f>IF(AJ297&lt;=0,0,MIN('Your debts'!$E$12,AJ297))</f>
        <v/>
      </c>
      <c r="AL297" s="33">
        <f>AJ297-AK297</f>
        <v/>
      </c>
      <c r="AM297" s="33">
        <f>IF('Your debts'!$F$12="",0,MIN(AL297,MAX(0,MAX(0,'Your debts'!$C$19-(G297+L297+Q297+V297+AA297+AF297+AK297+AP297+AU297+AZ297))-(IF(AND('Your debts'!$F$6&lt;&gt;"",'Your debts'!$F$12&lt;&gt;"",'Your debts'!$F$6&lt;'Your debts'!$F$12),H297,0)+IF(AND('Your debts'!$F$7&lt;&gt;"",'Your debts'!$F$12&lt;&gt;"",'Your debts'!$F$7&lt;'Your debts'!$F$12),M297,0)+IF(AND('Your debts'!$F$8&lt;&gt;"",'Your debts'!$F$12&lt;&gt;"",'Your debts'!$F$8&lt;'Your debts'!$F$12),R297,0)+IF(AND('Your debts'!$F$9&lt;&gt;"",'Your debts'!$F$12&lt;&gt;"",'Your debts'!$F$9&lt;'Your debts'!$F$12),W297,0)+IF(AND('Your debts'!$F$10&lt;&gt;"",'Your debts'!$F$12&lt;&gt;"",'Your debts'!$F$10&lt;'Your debts'!$F$12),AB297,0)+IF(AND('Your debts'!$F$11&lt;&gt;"",'Your debts'!$F$12&lt;&gt;"",'Your debts'!$F$11&lt;'Your debts'!$F$12),AG297,0)+IF(AND('Your debts'!$F$13&lt;&gt;"",'Your debts'!$F$12&lt;&gt;"",'Your debts'!$F$13&lt;'Your debts'!$F$12),AQ297,0)+IF(AND('Your debts'!$F$14&lt;&gt;"",'Your debts'!$F$12&lt;&gt;"",'Your debts'!$F$14&lt;'Your debts'!$F$12),AV297,0)+IF(AND('Your debts'!$F$15&lt;&gt;"",'Your debts'!$F$12&lt;&gt;"",'Your debts'!$F$15&lt;'Your debts'!$F$12),BA297,0)))))</f>
        <v/>
      </c>
      <c r="AN297" s="33">
        <f>AL297-AM297</f>
        <v/>
      </c>
      <c r="AO297" s="33">
        <f>IF(AS296&lt;=0,0,ROUND(AS296*(1+'Your debts'!$D$13/1200),2))</f>
        <v/>
      </c>
      <c r="AP297" s="33">
        <f>IF(AO297&lt;=0,0,MIN('Your debts'!$E$13,AO297))</f>
        <v/>
      </c>
      <c r="AQ297" s="33">
        <f>AO297-AP297</f>
        <v/>
      </c>
      <c r="AR297" s="33">
        <f>IF('Your debts'!$F$13="",0,MIN(AQ297,MAX(0,MAX(0,'Your debts'!$C$19-(G297+L297+Q297+V297+AA297+AF297+AK297+AP297+AU297+AZ297))-(IF(AND('Your debts'!$F$6&lt;&gt;"",'Your debts'!$F$13&lt;&gt;"",'Your debts'!$F$6&lt;'Your debts'!$F$13),H297,0)+IF(AND('Your debts'!$F$7&lt;&gt;"",'Your debts'!$F$13&lt;&gt;"",'Your debts'!$F$7&lt;'Your debts'!$F$13),M297,0)+IF(AND('Your debts'!$F$8&lt;&gt;"",'Your debts'!$F$13&lt;&gt;"",'Your debts'!$F$8&lt;'Your debts'!$F$13),R297,0)+IF(AND('Your debts'!$F$9&lt;&gt;"",'Your debts'!$F$13&lt;&gt;"",'Your debts'!$F$9&lt;'Your debts'!$F$13),W297,0)+IF(AND('Your debts'!$F$10&lt;&gt;"",'Your debts'!$F$13&lt;&gt;"",'Your debts'!$F$10&lt;'Your debts'!$F$13),AB297,0)+IF(AND('Your debts'!$F$11&lt;&gt;"",'Your debts'!$F$13&lt;&gt;"",'Your debts'!$F$11&lt;'Your debts'!$F$13),AG297,0)+IF(AND('Your debts'!$F$12&lt;&gt;"",'Your debts'!$F$13&lt;&gt;"",'Your debts'!$F$12&lt;'Your debts'!$F$13),AL297,0)+IF(AND('Your debts'!$F$14&lt;&gt;"",'Your debts'!$F$13&lt;&gt;"",'Your debts'!$F$14&lt;'Your debts'!$F$13),AV297,0)+IF(AND('Your debts'!$F$15&lt;&gt;"",'Your debts'!$F$13&lt;&gt;"",'Your debts'!$F$15&lt;'Your debts'!$F$13),BA297,0)))))</f>
        <v/>
      </c>
      <c r="AS297" s="33">
        <f>AQ297-AR297</f>
        <v/>
      </c>
      <c r="AT297" s="33">
        <f>IF(AX296&lt;=0,0,ROUND(AX296*(1+'Your debts'!$D$14/1200),2))</f>
        <v/>
      </c>
      <c r="AU297" s="33">
        <f>IF(AT297&lt;=0,0,MIN('Your debts'!$E$14,AT297))</f>
        <v/>
      </c>
      <c r="AV297" s="33">
        <f>AT297-AU297</f>
        <v/>
      </c>
      <c r="AW297" s="33">
        <f>IF('Your debts'!$F$14="",0,MIN(AV297,MAX(0,MAX(0,'Your debts'!$C$19-(G297+L297+Q297+V297+AA297+AF297+AK297+AP297+AU297+AZ297))-(IF(AND('Your debts'!$F$6&lt;&gt;"",'Your debts'!$F$14&lt;&gt;"",'Your debts'!$F$6&lt;'Your debts'!$F$14),H297,0)+IF(AND('Your debts'!$F$7&lt;&gt;"",'Your debts'!$F$14&lt;&gt;"",'Your debts'!$F$7&lt;'Your debts'!$F$14),M297,0)+IF(AND('Your debts'!$F$8&lt;&gt;"",'Your debts'!$F$14&lt;&gt;"",'Your debts'!$F$8&lt;'Your debts'!$F$14),R297,0)+IF(AND('Your debts'!$F$9&lt;&gt;"",'Your debts'!$F$14&lt;&gt;"",'Your debts'!$F$9&lt;'Your debts'!$F$14),W297,0)+IF(AND('Your debts'!$F$10&lt;&gt;"",'Your debts'!$F$14&lt;&gt;"",'Your debts'!$F$10&lt;'Your debts'!$F$14),AB297,0)+IF(AND('Your debts'!$F$11&lt;&gt;"",'Your debts'!$F$14&lt;&gt;"",'Your debts'!$F$11&lt;'Your debts'!$F$14),AG297,0)+IF(AND('Your debts'!$F$12&lt;&gt;"",'Your debts'!$F$14&lt;&gt;"",'Your debts'!$F$12&lt;'Your debts'!$F$14),AL297,0)+IF(AND('Your debts'!$F$13&lt;&gt;"",'Your debts'!$F$14&lt;&gt;"",'Your debts'!$F$13&lt;'Your debts'!$F$14),AQ297,0)+IF(AND('Your debts'!$F$15&lt;&gt;"",'Your debts'!$F$14&lt;&gt;"",'Your debts'!$F$15&lt;'Your debts'!$F$14),BA297,0)))))</f>
        <v/>
      </c>
      <c r="AX297" s="33">
        <f>AV297-AW297</f>
        <v/>
      </c>
      <c r="AY297" s="33">
        <f>IF(BC296&lt;=0,0,ROUND(BC296*(1+'Your debts'!$D$15/1200),2))</f>
        <v/>
      </c>
      <c r="AZ297" s="33">
        <f>IF(AY297&lt;=0,0,MIN('Your debts'!$E$15,AY297))</f>
        <v/>
      </c>
      <c r="BA297" s="33">
        <f>AY297-AZ297</f>
        <v/>
      </c>
      <c r="BB297" s="33">
        <f>IF('Your debts'!$F$15="",0,MIN(BA297,MAX(0,MAX(0,'Your debts'!$C$19-(G297+L297+Q297+V297+AA297+AF297+AK297+AP297+AU297+AZ297))-(IF(AND('Your debts'!$F$6&lt;&gt;"",'Your debts'!$F$15&lt;&gt;"",'Your debts'!$F$6&lt;'Your debts'!$F$15),H297,0)+IF(AND('Your debts'!$F$7&lt;&gt;"",'Your debts'!$F$15&lt;&gt;"",'Your debts'!$F$7&lt;'Your debts'!$F$15),M297,0)+IF(AND('Your debts'!$F$8&lt;&gt;"",'Your debts'!$F$15&lt;&gt;"",'Your debts'!$F$8&lt;'Your debts'!$F$15),R297,0)+IF(AND('Your debts'!$F$9&lt;&gt;"",'Your debts'!$F$15&lt;&gt;"",'Your debts'!$F$9&lt;'Your debts'!$F$15),W297,0)+IF(AND('Your debts'!$F$10&lt;&gt;"",'Your debts'!$F$15&lt;&gt;"",'Your debts'!$F$10&lt;'Your debts'!$F$15),AB297,0)+IF(AND('Your debts'!$F$11&lt;&gt;"",'Your debts'!$F$15&lt;&gt;"",'Your debts'!$F$11&lt;'Your debts'!$F$15),AG297,0)+IF(AND('Your debts'!$F$12&lt;&gt;"",'Your debts'!$F$15&lt;&gt;"",'Your debts'!$F$12&lt;'Your debts'!$F$15),AL297,0)+IF(AND('Your debts'!$F$13&lt;&gt;"",'Your debts'!$F$15&lt;&gt;"",'Your debts'!$F$13&lt;'Your debts'!$F$15),AQ297,0)+IF(AND('Your debts'!$F$14&lt;&gt;"",'Your debts'!$F$15&lt;&gt;"",'Your debts'!$F$14&lt;'Your debts'!$F$15),AV297,0)))))</f>
        <v/>
      </c>
      <c r="BC297" s="33">
        <f>BA297-BB297</f>
        <v/>
      </c>
    </row>
    <row r="298">
      <c r="A298" s="30" t="n">
        <v>283</v>
      </c>
      <c r="B298" s="31">
        <f>EDATE($B$15,283)</f>
        <v/>
      </c>
      <c r="C298" s="32">
        <f>IF(J297&lt;=0,0,F298-J297)+IF(O297&lt;=0,0,K298-O297)+IF(T297&lt;=0,0,P298-T297)+IF(Y297&lt;=0,0,U298-Y297)+IF(AD297&lt;=0,0,Z298-AD297)+IF(AI297&lt;=0,0,AE298-AI297)+IF(AN297&lt;=0,0,AJ298-AN297)+IF(AS297&lt;=0,0,AO298-AS297)+IF(AX297&lt;=0,0,AT298-AX297)+IF(BC297&lt;=0,0,AY298-BC297)</f>
        <v/>
      </c>
      <c r="D298" s="32">
        <f>G298+I298+L298+N298+Q298+S298+V298+X298+AA298+AC298+AF298+AH298+AK298+AM298+AP298+AR298+AU298+AW298+AZ298+BB298</f>
        <v/>
      </c>
      <c r="E298" s="32">
        <f>J298+O298+T298+Y298+AD298+AI298+AN298+AS298+AX298+BC298</f>
        <v/>
      </c>
      <c r="F298" s="33">
        <f>IF(J297&lt;=0,0,ROUND(J297*(1+'Your debts'!$D$6/1200),2))</f>
        <v/>
      </c>
      <c r="G298" s="33">
        <f>IF(F298&lt;=0,0,MIN('Your debts'!$E$6,F298))</f>
        <v/>
      </c>
      <c r="H298" s="33">
        <f>F298-G298</f>
        <v/>
      </c>
      <c r="I298" s="33">
        <f>IF('Your debts'!$F$6="",0,MIN(H298,MAX(0,MAX(0,'Your debts'!$C$19-(G298+L298+Q298+V298+AA298+AF298+AK298+AP298+AU298+AZ298))-(IF(AND('Your debts'!$F$7&lt;&gt;"",'Your debts'!$F$6&lt;&gt;"",'Your debts'!$F$7&lt;'Your debts'!$F$6),M298,0)+IF(AND('Your debts'!$F$8&lt;&gt;"",'Your debts'!$F$6&lt;&gt;"",'Your debts'!$F$8&lt;'Your debts'!$F$6),R298,0)+IF(AND('Your debts'!$F$9&lt;&gt;"",'Your debts'!$F$6&lt;&gt;"",'Your debts'!$F$9&lt;'Your debts'!$F$6),W298,0)+IF(AND('Your debts'!$F$10&lt;&gt;"",'Your debts'!$F$6&lt;&gt;"",'Your debts'!$F$10&lt;'Your debts'!$F$6),AB298,0)+IF(AND('Your debts'!$F$11&lt;&gt;"",'Your debts'!$F$6&lt;&gt;"",'Your debts'!$F$11&lt;'Your debts'!$F$6),AG298,0)+IF(AND('Your debts'!$F$12&lt;&gt;"",'Your debts'!$F$6&lt;&gt;"",'Your debts'!$F$12&lt;'Your debts'!$F$6),AL298,0)+IF(AND('Your debts'!$F$13&lt;&gt;"",'Your debts'!$F$6&lt;&gt;"",'Your debts'!$F$13&lt;'Your debts'!$F$6),AQ298,0)+IF(AND('Your debts'!$F$14&lt;&gt;"",'Your debts'!$F$6&lt;&gt;"",'Your debts'!$F$14&lt;'Your debts'!$F$6),AV298,0)+IF(AND('Your debts'!$F$15&lt;&gt;"",'Your debts'!$F$6&lt;&gt;"",'Your debts'!$F$15&lt;'Your debts'!$F$6),BA298,0)))))</f>
        <v/>
      </c>
      <c r="J298" s="33">
        <f>H298-I298</f>
        <v/>
      </c>
      <c r="K298" s="33">
        <f>IF(O297&lt;=0,0,ROUND(O297*(1+'Your debts'!$D$7/1200),2))</f>
        <v/>
      </c>
      <c r="L298" s="33">
        <f>IF(K298&lt;=0,0,MIN('Your debts'!$E$7,K298))</f>
        <v/>
      </c>
      <c r="M298" s="33">
        <f>K298-L298</f>
        <v/>
      </c>
      <c r="N298" s="33">
        <f>IF('Your debts'!$F$7="",0,MIN(M298,MAX(0,MAX(0,'Your debts'!$C$19-(G298+L298+Q298+V298+AA298+AF298+AK298+AP298+AU298+AZ298))-(IF(AND('Your debts'!$F$6&lt;&gt;"",'Your debts'!$F$7&lt;&gt;"",'Your debts'!$F$6&lt;'Your debts'!$F$7),H298,0)+IF(AND('Your debts'!$F$8&lt;&gt;"",'Your debts'!$F$7&lt;&gt;"",'Your debts'!$F$8&lt;'Your debts'!$F$7),R298,0)+IF(AND('Your debts'!$F$9&lt;&gt;"",'Your debts'!$F$7&lt;&gt;"",'Your debts'!$F$9&lt;'Your debts'!$F$7),W298,0)+IF(AND('Your debts'!$F$10&lt;&gt;"",'Your debts'!$F$7&lt;&gt;"",'Your debts'!$F$10&lt;'Your debts'!$F$7),AB298,0)+IF(AND('Your debts'!$F$11&lt;&gt;"",'Your debts'!$F$7&lt;&gt;"",'Your debts'!$F$11&lt;'Your debts'!$F$7),AG298,0)+IF(AND('Your debts'!$F$12&lt;&gt;"",'Your debts'!$F$7&lt;&gt;"",'Your debts'!$F$12&lt;'Your debts'!$F$7),AL298,0)+IF(AND('Your debts'!$F$13&lt;&gt;"",'Your debts'!$F$7&lt;&gt;"",'Your debts'!$F$13&lt;'Your debts'!$F$7),AQ298,0)+IF(AND('Your debts'!$F$14&lt;&gt;"",'Your debts'!$F$7&lt;&gt;"",'Your debts'!$F$14&lt;'Your debts'!$F$7),AV298,0)+IF(AND('Your debts'!$F$15&lt;&gt;"",'Your debts'!$F$7&lt;&gt;"",'Your debts'!$F$15&lt;'Your debts'!$F$7),BA298,0)))))</f>
        <v/>
      </c>
      <c r="O298" s="33">
        <f>M298-N298</f>
        <v/>
      </c>
      <c r="P298" s="33">
        <f>IF(T297&lt;=0,0,ROUND(T297*(1+'Your debts'!$D$8/1200),2))</f>
        <v/>
      </c>
      <c r="Q298" s="33">
        <f>IF(P298&lt;=0,0,MIN('Your debts'!$E$8,P298))</f>
        <v/>
      </c>
      <c r="R298" s="33">
        <f>P298-Q298</f>
        <v/>
      </c>
      <c r="S298" s="33">
        <f>IF('Your debts'!$F$8="",0,MIN(R298,MAX(0,MAX(0,'Your debts'!$C$19-(G298+L298+Q298+V298+AA298+AF298+AK298+AP298+AU298+AZ298))-(IF(AND('Your debts'!$F$6&lt;&gt;"",'Your debts'!$F$8&lt;&gt;"",'Your debts'!$F$6&lt;'Your debts'!$F$8),H298,0)+IF(AND('Your debts'!$F$7&lt;&gt;"",'Your debts'!$F$8&lt;&gt;"",'Your debts'!$F$7&lt;'Your debts'!$F$8),M298,0)+IF(AND('Your debts'!$F$9&lt;&gt;"",'Your debts'!$F$8&lt;&gt;"",'Your debts'!$F$9&lt;'Your debts'!$F$8),W298,0)+IF(AND('Your debts'!$F$10&lt;&gt;"",'Your debts'!$F$8&lt;&gt;"",'Your debts'!$F$10&lt;'Your debts'!$F$8),AB298,0)+IF(AND('Your debts'!$F$11&lt;&gt;"",'Your debts'!$F$8&lt;&gt;"",'Your debts'!$F$11&lt;'Your debts'!$F$8),AG298,0)+IF(AND('Your debts'!$F$12&lt;&gt;"",'Your debts'!$F$8&lt;&gt;"",'Your debts'!$F$12&lt;'Your debts'!$F$8),AL298,0)+IF(AND('Your debts'!$F$13&lt;&gt;"",'Your debts'!$F$8&lt;&gt;"",'Your debts'!$F$13&lt;'Your debts'!$F$8),AQ298,0)+IF(AND('Your debts'!$F$14&lt;&gt;"",'Your debts'!$F$8&lt;&gt;"",'Your debts'!$F$14&lt;'Your debts'!$F$8),AV298,0)+IF(AND('Your debts'!$F$15&lt;&gt;"",'Your debts'!$F$8&lt;&gt;"",'Your debts'!$F$15&lt;'Your debts'!$F$8),BA298,0)))))</f>
        <v/>
      </c>
      <c r="T298" s="33">
        <f>R298-S298</f>
        <v/>
      </c>
      <c r="U298" s="33">
        <f>IF(Y297&lt;=0,0,ROUND(Y297*(1+'Your debts'!$D$9/1200),2))</f>
        <v/>
      </c>
      <c r="V298" s="33">
        <f>IF(U298&lt;=0,0,MIN('Your debts'!$E$9,U298))</f>
        <v/>
      </c>
      <c r="W298" s="33">
        <f>U298-V298</f>
        <v/>
      </c>
      <c r="X298" s="33">
        <f>IF('Your debts'!$F$9="",0,MIN(W298,MAX(0,MAX(0,'Your debts'!$C$19-(G298+L298+Q298+V298+AA298+AF298+AK298+AP298+AU298+AZ298))-(IF(AND('Your debts'!$F$6&lt;&gt;"",'Your debts'!$F$9&lt;&gt;"",'Your debts'!$F$6&lt;'Your debts'!$F$9),H298,0)+IF(AND('Your debts'!$F$7&lt;&gt;"",'Your debts'!$F$9&lt;&gt;"",'Your debts'!$F$7&lt;'Your debts'!$F$9),M298,0)+IF(AND('Your debts'!$F$8&lt;&gt;"",'Your debts'!$F$9&lt;&gt;"",'Your debts'!$F$8&lt;'Your debts'!$F$9),R298,0)+IF(AND('Your debts'!$F$10&lt;&gt;"",'Your debts'!$F$9&lt;&gt;"",'Your debts'!$F$10&lt;'Your debts'!$F$9),AB298,0)+IF(AND('Your debts'!$F$11&lt;&gt;"",'Your debts'!$F$9&lt;&gt;"",'Your debts'!$F$11&lt;'Your debts'!$F$9),AG298,0)+IF(AND('Your debts'!$F$12&lt;&gt;"",'Your debts'!$F$9&lt;&gt;"",'Your debts'!$F$12&lt;'Your debts'!$F$9),AL298,0)+IF(AND('Your debts'!$F$13&lt;&gt;"",'Your debts'!$F$9&lt;&gt;"",'Your debts'!$F$13&lt;'Your debts'!$F$9),AQ298,0)+IF(AND('Your debts'!$F$14&lt;&gt;"",'Your debts'!$F$9&lt;&gt;"",'Your debts'!$F$14&lt;'Your debts'!$F$9),AV298,0)+IF(AND('Your debts'!$F$15&lt;&gt;"",'Your debts'!$F$9&lt;&gt;"",'Your debts'!$F$15&lt;'Your debts'!$F$9),BA298,0)))))</f>
        <v/>
      </c>
      <c r="Y298" s="33">
        <f>W298-X298</f>
        <v/>
      </c>
      <c r="Z298" s="33">
        <f>IF(AD297&lt;=0,0,ROUND(AD297*(1+'Your debts'!$D$10/1200),2))</f>
        <v/>
      </c>
      <c r="AA298" s="33">
        <f>IF(Z298&lt;=0,0,MIN('Your debts'!$E$10,Z298))</f>
        <v/>
      </c>
      <c r="AB298" s="33">
        <f>Z298-AA298</f>
        <v/>
      </c>
      <c r="AC298" s="33">
        <f>IF('Your debts'!$F$10="",0,MIN(AB298,MAX(0,MAX(0,'Your debts'!$C$19-(G298+L298+Q298+V298+AA298+AF298+AK298+AP298+AU298+AZ298))-(IF(AND('Your debts'!$F$6&lt;&gt;"",'Your debts'!$F$10&lt;&gt;"",'Your debts'!$F$6&lt;'Your debts'!$F$10),H298,0)+IF(AND('Your debts'!$F$7&lt;&gt;"",'Your debts'!$F$10&lt;&gt;"",'Your debts'!$F$7&lt;'Your debts'!$F$10),M298,0)+IF(AND('Your debts'!$F$8&lt;&gt;"",'Your debts'!$F$10&lt;&gt;"",'Your debts'!$F$8&lt;'Your debts'!$F$10),R298,0)+IF(AND('Your debts'!$F$9&lt;&gt;"",'Your debts'!$F$10&lt;&gt;"",'Your debts'!$F$9&lt;'Your debts'!$F$10),W298,0)+IF(AND('Your debts'!$F$11&lt;&gt;"",'Your debts'!$F$10&lt;&gt;"",'Your debts'!$F$11&lt;'Your debts'!$F$10),AG298,0)+IF(AND('Your debts'!$F$12&lt;&gt;"",'Your debts'!$F$10&lt;&gt;"",'Your debts'!$F$12&lt;'Your debts'!$F$10),AL298,0)+IF(AND('Your debts'!$F$13&lt;&gt;"",'Your debts'!$F$10&lt;&gt;"",'Your debts'!$F$13&lt;'Your debts'!$F$10),AQ298,0)+IF(AND('Your debts'!$F$14&lt;&gt;"",'Your debts'!$F$10&lt;&gt;"",'Your debts'!$F$14&lt;'Your debts'!$F$10),AV298,0)+IF(AND('Your debts'!$F$15&lt;&gt;"",'Your debts'!$F$10&lt;&gt;"",'Your debts'!$F$15&lt;'Your debts'!$F$10),BA298,0)))))</f>
        <v/>
      </c>
      <c r="AD298" s="33">
        <f>AB298-AC298</f>
        <v/>
      </c>
      <c r="AE298" s="33">
        <f>IF(AI297&lt;=0,0,ROUND(AI297*(1+'Your debts'!$D$11/1200),2))</f>
        <v/>
      </c>
      <c r="AF298" s="33">
        <f>IF(AE298&lt;=0,0,MIN('Your debts'!$E$11,AE298))</f>
        <v/>
      </c>
      <c r="AG298" s="33">
        <f>AE298-AF298</f>
        <v/>
      </c>
      <c r="AH298" s="33">
        <f>IF('Your debts'!$F$11="",0,MIN(AG298,MAX(0,MAX(0,'Your debts'!$C$19-(G298+L298+Q298+V298+AA298+AF298+AK298+AP298+AU298+AZ298))-(IF(AND('Your debts'!$F$6&lt;&gt;"",'Your debts'!$F$11&lt;&gt;"",'Your debts'!$F$6&lt;'Your debts'!$F$11),H298,0)+IF(AND('Your debts'!$F$7&lt;&gt;"",'Your debts'!$F$11&lt;&gt;"",'Your debts'!$F$7&lt;'Your debts'!$F$11),M298,0)+IF(AND('Your debts'!$F$8&lt;&gt;"",'Your debts'!$F$11&lt;&gt;"",'Your debts'!$F$8&lt;'Your debts'!$F$11),R298,0)+IF(AND('Your debts'!$F$9&lt;&gt;"",'Your debts'!$F$11&lt;&gt;"",'Your debts'!$F$9&lt;'Your debts'!$F$11),W298,0)+IF(AND('Your debts'!$F$10&lt;&gt;"",'Your debts'!$F$11&lt;&gt;"",'Your debts'!$F$10&lt;'Your debts'!$F$11),AB298,0)+IF(AND('Your debts'!$F$12&lt;&gt;"",'Your debts'!$F$11&lt;&gt;"",'Your debts'!$F$12&lt;'Your debts'!$F$11),AL298,0)+IF(AND('Your debts'!$F$13&lt;&gt;"",'Your debts'!$F$11&lt;&gt;"",'Your debts'!$F$13&lt;'Your debts'!$F$11),AQ298,0)+IF(AND('Your debts'!$F$14&lt;&gt;"",'Your debts'!$F$11&lt;&gt;"",'Your debts'!$F$14&lt;'Your debts'!$F$11),AV298,0)+IF(AND('Your debts'!$F$15&lt;&gt;"",'Your debts'!$F$11&lt;&gt;"",'Your debts'!$F$15&lt;'Your debts'!$F$11),BA298,0)))))</f>
        <v/>
      </c>
      <c r="AI298" s="33">
        <f>AG298-AH298</f>
        <v/>
      </c>
      <c r="AJ298" s="33">
        <f>IF(AN297&lt;=0,0,ROUND(AN297*(1+'Your debts'!$D$12/1200),2))</f>
        <v/>
      </c>
      <c r="AK298" s="33">
        <f>IF(AJ298&lt;=0,0,MIN('Your debts'!$E$12,AJ298))</f>
        <v/>
      </c>
      <c r="AL298" s="33">
        <f>AJ298-AK298</f>
        <v/>
      </c>
      <c r="AM298" s="33">
        <f>IF('Your debts'!$F$12="",0,MIN(AL298,MAX(0,MAX(0,'Your debts'!$C$19-(G298+L298+Q298+V298+AA298+AF298+AK298+AP298+AU298+AZ298))-(IF(AND('Your debts'!$F$6&lt;&gt;"",'Your debts'!$F$12&lt;&gt;"",'Your debts'!$F$6&lt;'Your debts'!$F$12),H298,0)+IF(AND('Your debts'!$F$7&lt;&gt;"",'Your debts'!$F$12&lt;&gt;"",'Your debts'!$F$7&lt;'Your debts'!$F$12),M298,0)+IF(AND('Your debts'!$F$8&lt;&gt;"",'Your debts'!$F$12&lt;&gt;"",'Your debts'!$F$8&lt;'Your debts'!$F$12),R298,0)+IF(AND('Your debts'!$F$9&lt;&gt;"",'Your debts'!$F$12&lt;&gt;"",'Your debts'!$F$9&lt;'Your debts'!$F$12),W298,0)+IF(AND('Your debts'!$F$10&lt;&gt;"",'Your debts'!$F$12&lt;&gt;"",'Your debts'!$F$10&lt;'Your debts'!$F$12),AB298,0)+IF(AND('Your debts'!$F$11&lt;&gt;"",'Your debts'!$F$12&lt;&gt;"",'Your debts'!$F$11&lt;'Your debts'!$F$12),AG298,0)+IF(AND('Your debts'!$F$13&lt;&gt;"",'Your debts'!$F$12&lt;&gt;"",'Your debts'!$F$13&lt;'Your debts'!$F$12),AQ298,0)+IF(AND('Your debts'!$F$14&lt;&gt;"",'Your debts'!$F$12&lt;&gt;"",'Your debts'!$F$14&lt;'Your debts'!$F$12),AV298,0)+IF(AND('Your debts'!$F$15&lt;&gt;"",'Your debts'!$F$12&lt;&gt;"",'Your debts'!$F$15&lt;'Your debts'!$F$12),BA298,0)))))</f>
        <v/>
      </c>
      <c r="AN298" s="33">
        <f>AL298-AM298</f>
        <v/>
      </c>
      <c r="AO298" s="33">
        <f>IF(AS297&lt;=0,0,ROUND(AS297*(1+'Your debts'!$D$13/1200),2))</f>
        <v/>
      </c>
      <c r="AP298" s="33">
        <f>IF(AO298&lt;=0,0,MIN('Your debts'!$E$13,AO298))</f>
        <v/>
      </c>
      <c r="AQ298" s="33">
        <f>AO298-AP298</f>
        <v/>
      </c>
      <c r="AR298" s="33">
        <f>IF('Your debts'!$F$13="",0,MIN(AQ298,MAX(0,MAX(0,'Your debts'!$C$19-(G298+L298+Q298+V298+AA298+AF298+AK298+AP298+AU298+AZ298))-(IF(AND('Your debts'!$F$6&lt;&gt;"",'Your debts'!$F$13&lt;&gt;"",'Your debts'!$F$6&lt;'Your debts'!$F$13),H298,0)+IF(AND('Your debts'!$F$7&lt;&gt;"",'Your debts'!$F$13&lt;&gt;"",'Your debts'!$F$7&lt;'Your debts'!$F$13),M298,0)+IF(AND('Your debts'!$F$8&lt;&gt;"",'Your debts'!$F$13&lt;&gt;"",'Your debts'!$F$8&lt;'Your debts'!$F$13),R298,0)+IF(AND('Your debts'!$F$9&lt;&gt;"",'Your debts'!$F$13&lt;&gt;"",'Your debts'!$F$9&lt;'Your debts'!$F$13),W298,0)+IF(AND('Your debts'!$F$10&lt;&gt;"",'Your debts'!$F$13&lt;&gt;"",'Your debts'!$F$10&lt;'Your debts'!$F$13),AB298,0)+IF(AND('Your debts'!$F$11&lt;&gt;"",'Your debts'!$F$13&lt;&gt;"",'Your debts'!$F$11&lt;'Your debts'!$F$13),AG298,0)+IF(AND('Your debts'!$F$12&lt;&gt;"",'Your debts'!$F$13&lt;&gt;"",'Your debts'!$F$12&lt;'Your debts'!$F$13),AL298,0)+IF(AND('Your debts'!$F$14&lt;&gt;"",'Your debts'!$F$13&lt;&gt;"",'Your debts'!$F$14&lt;'Your debts'!$F$13),AV298,0)+IF(AND('Your debts'!$F$15&lt;&gt;"",'Your debts'!$F$13&lt;&gt;"",'Your debts'!$F$15&lt;'Your debts'!$F$13),BA298,0)))))</f>
        <v/>
      </c>
      <c r="AS298" s="33">
        <f>AQ298-AR298</f>
        <v/>
      </c>
      <c r="AT298" s="33">
        <f>IF(AX297&lt;=0,0,ROUND(AX297*(1+'Your debts'!$D$14/1200),2))</f>
        <v/>
      </c>
      <c r="AU298" s="33">
        <f>IF(AT298&lt;=0,0,MIN('Your debts'!$E$14,AT298))</f>
        <v/>
      </c>
      <c r="AV298" s="33">
        <f>AT298-AU298</f>
        <v/>
      </c>
      <c r="AW298" s="33">
        <f>IF('Your debts'!$F$14="",0,MIN(AV298,MAX(0,MAX(0,'Your debts'!$C$19-(G298+L298+Q298+V298+AA298+AF298+AK298+AP298+AU298+AZ298))-(IF(AND('Your debts'!$F$6&lt;&gt;"",'Your debts'!$F$14&lt;&gt;"",'Your debts'!$F$6&lt;'Your debts'!$F$14),H298,0)+IF(AND('Your debts'!$F$7&lt;&gt;"",'Your debts'!$F$14&lt;&gt;"",'Your debts'!$F$7&lt;'Your debts'!$F$14),M298,0)+IF(AND('Your debts'!$F$8&lt;&gt;"",'Your debts'!$F$14&lt;&gt;"",'Your debts'!$F$8&lt;'Your debts'!$F$14),R298,0)+IF(AND('Your debts'!$F$9&lt;&gt;"",'Your debts'!$F$14&lt;&gt;"",'Your debts'!$F$9&lt;'Your debts'!$F$14),W298,0)+IF(AND('Your debts'!$F$10&lt;&gt;"",'Your debts'!$F$14&lt;&gt;"",'Your debts'!$F$10&lt;'Your debts'!$F$14),AB298,0)+IF(AND('Your debts'!$F$11&lt;&gt;"",'Your debts'!$F$14&lt;&gt;"",'Your debts'!$F$11&lt;'Your debts'!$F$14),AG298,0)+IF(AND('Your debts'!$F$12&lt;&gt;"",'Your debts'!$F$14&lt;&gt;"",'Your debts'!$F$12&lt;'Your debts'!$F$14),AL298,0)+IF(AND('Your debts'!$F$13&lt;&gt;"",'Your debts'!$F$14&lt;&gt;"",'Your debts'!$F$13&lt;'Your debts'!$F$14),AQ298,0)+IF(AND('Your debts'!$F$15&lt;&gt;"",'Your debts'!$F$14&lt;&gt;"",'Your debts'!$F$15&lt;'Your debts'!$F$14),BA298,0)))))</f>
        <v/>
      </c>
      <c r="AX298" s="33">
        <f>AV298-AW298</f>
        <v/>
      </c>
      <c r="AY298" s="33">
        <f>IF(BC297&lt;=0,0,ROUND(BC297*(1+'Your debts'!$D$15/1200),2))</f>
        <v/>
      </c>
      <c r="AZ298" s="33">
        <f>IF(AY298&lt;=0,0,MIN('Your debts'!$E$15,AY298))</f>
        <v/>
      </c>
      <c r="BA298" s="33">
        <f>AY298-AZ298</f>
        <v/>
      </c>
      <c r="BB298" s="33">
        <f>IF('Your debts'!$F$15="",0,MIN(BA298,MAX(0,MAX(0,'Your debts'!$C$19-(G298+L298+Q298+V298+AA298+AF298+AK298+AP298+AU298+AZ298))-(IF(AND('Your debts'!$F$6&lt;&gt;"",'Your debts'!$F$15&lt;&gt;"",'Your debts'!$F$6&lt;'Your debts'!$F$15),H298,0)+IF(AND('Your debts'!$F$7&lt;&gt;"",'Your debts'!$F$15&lt;&gt;"",'Your debts'!$F$7&lt;'Your debts'!$F$15),M298,0)+IF(AND('Your debts'!$F$8&lt;&gt;"",'Your debts'!$F$15&lt;&gt;"",'Your debts'!$F$8&lt;'Your debts'!$F$15),R298,0)+IF(AND('Your debts'!$F$9&lt;&gt;"",'Your debts'!$F$15&lt;&gt;"",'Your debts'!$F$9&lt;'Your debts'!$F$15),W298,0)+IF(AND('Your debts'!$F$10&lt;&gt;"",'Your debts'!$F$15&lt;&gt;"",'Your debts'!$F$10&lt;'Your debts'!$F$15),AB298,0)+IF(AND('Your debts'!$F$11&lt;&gt;"",'Your debts'!$F$15&lt;&gt;"",'Your debts'!$F$11&lt;'Your debts'!$F$15),AG298,0)+IF(AND('Your debts'!$F$12&lt;&gt;"",'Your debts'!$F$15&lt;&gt;"",'Your debts'!$F$12&lt;'Your debts'!$F$15),AL298,0)+IF(AND('Your debts'!$F$13&lt;&gt;"",'Your debts'!$F$15&lt;&gt;"",'Your debts'!$F$13&lt;'Your debts'!$F$15),AQ298,0)+IF(AND('Your debts'!$F$14&lt;&gt;"",'Your debts'!$F$15&lt;&gt;"",'Your debts'!$F$14&lt;'Your debts'!$F$15),AV298,0)))))</f>
        <v/>
      </c>
      <c r="BC298" s="33">
        <f>BA298-BB298</f>
        <v/>
      </c>
    </row>
    <row r="299">
      <c r="A299" s="30" t="n">
        <v>284</v>
      </c>
      <c r="B299" s="31">
        <f>EDATE($B$15,284)</f>
        <v/>
      </c>
      <c r="C299" s="32">
        <f>IF(J298&lt;=0,0,F299-J298)+IF(O298&lt;=0,0,K299-O298)+IF(T298&lt;=0,0,P299-T298)+IF(Y298&lt;=0,0,U299-Y298)+IF(AD298&lt;=0,0,Z299-AD298)+IF(AI298&lt;=0,0,AE299-AI298)+IF(AN298&lt;=0,0,AJ299-AN298)+IF(AS298&lt;=0,0,AO299-AS298)+IF(AX298&lt;=0,0,AT299-AX298)+IF(BC298&lt;=0,0,AY299-BC298)</f>
        <v/>
      </c>
      <c r="D299" s="32">
        <f>G299+I299+L299+N299+Q299+S299+V299+X299+AA299+AC299+AF299+AH299+AK299+AM299+AP299+AR299+AU299+AW299+AZ299+BB299</f>
        <v/>
      </c>
      <c r="E299" s="32">
        <f>J299+O299+T299+Y299+AD299+AI299+AN299+AS299+AX299+BC299</f>
        <v/>
      </c>
      <c r="F299" s="33">
        <f>IF(J298&lt;=0,0,ROUND(J298*(1+'Your debts'!$D$6/1200),2))</f>
        <v/>
      </c>
      <c r="G299" s="33">
        <f>IF(F299&lt;=0,0,MIN('Your debts'!$E$6,F299))</f>
        <v/>
      </c>
      <c r="H299" s="33">
        <f>F299-G299</f>
        <v/>
      </c>
      <c r="I299" s="33">
        <f>IF('Your debts'!$F$6="",0,MIN(H299,MAX(0,MAX(0,'Your debts'!$C$19-(G299+L299+Q299+V299+AA299+AF299+AK299+AP299+AU299+AZ299))-(IF(AND('Your debts'!$F$7&lt;&gt;"",'Your debts'!$F$6&lt;&gt;"",'Your debts'!$F$7&lt;'Your debts'!$F$6),M299,0)+IF(AND('Your debts'!$F$8&lt;&gt;"",'Your debts'!$F$6&lt;&gt;"",'Your debts'!$F$8&lt;'Your debts'!$F$6),R299,0)+IF(AND('Your debts'!$F$9&lt;&gt;"",'Your debts'!$F$6&lt;&gt;"",'Your debts'!$F$9&lt;'Your debts'!$F$6),W299,0)+IF(AND('Your debts'!$F$10&lt;&gt;"",'Your debts'!$F$6&lt;&gt;"",'Your debts'!$F$10&lt;'Your debts'!$F$6),AB299,0)+IF(AND('Your debts'!$F$11&lt;&gt;"",'Your debts'!$F$6&lt;&gt;"",'Your debts'!$F$11&lt;'Your debts'!$F$6),AG299,0)+IF(AND('Your debts'!$F$12&lt;&gt;"",'Your debts'!$F$6&lt;&gt;"",'Your debts'!$F$12&lt;'Your debts'!$F$6),AL299,0)+IF(AND('Your debts'!$F$13&lt;&gt;"",'Your debts'!$F$6&lt;&gt;"",'Your debts'!$F$13&lt;'Your debts'!$F$6),AQ299,0)+IF(AND('Your debts'!$F$14&lt;&gt;"",'Your debts'!$F$6&lt;&gt;"",'Your debts'!$F$14&lt;'Your debts'!$F$6),AV299,0)+IF(AND('Your debts'!$F$15&lt;&gt;"",'Your debts'!$F$6&lt;&gt;"",'Your debts'!$F$15&lt;'Your debts'!$F$6),BA299,0)))))</f>
        <v/>
      </c>
      <c r="J299" s="33">
        <f>H299-I299</f>
        <v/>
      </c>
      <c r="K299" s="33">
        <f>IF(O298&lt;=0,0,ROUND(O298*(1+'Your debts'!$D$7/1200),2))</f>
        <v/>
      </c>
      <c r="L299" s="33">
        <f>IF(K299&lt;=0,0,MIN('Your debts'!$E$7,K299))</f>
        <v/>
      </c>
      <c r="M299" s="33">
        <f>K299-L299</f>
        <v/>
      </c>
      <c r="N299" s="33">
        <f>IF('Your debts'!$F$7="",0,MIN(M299,MAX(0,MAX(0,'Your debts'!$C$19-(G299+L299+Q299+V299+AA299+AF299+AK299+AP299+AU299+AZ299))-(IF(AND('Your debts'!$F$6&lt;&gt;"",'Your debts'!$F$7&lt;&gt;"",'Your debts'!$F$6&lt;'Your debts'!$F$7),H299,0)+IF(AND('Your debts'!$F$8&lt;&gt;"",'Your debts'!$F$7&lt;&gt;"",'Your debts'!$F$8&lt;'Your debts'!$F$7),R299,0)+IF(AND('Your debts'!$F$9&lt;&gt;"",'Your debts'!$F$7&lt;&gt;"",'Your debts'!$F$9&lt;'Your debts'!$F$7),W299,0)+IF(AND('Your debts'!$F$10&lt;&gt;"",'Your debts'!$F$7&lt;&gt;"",'Your debts'!$F$10&lt;'Your debts'!$F$7),AB299,0)+IF(AND('Your debts'!$F$11&lt;&gt;"",'Your debts'!$F$7&lt;&gt;"",'Your debts'!$F$11&lt;'Your debts'!$F$7),AG299,0)+IF(AND('Your debts'!$F$12&lt;&gt;"",'Your debts'!$F$7&lt;&gt;"",'Your debts'!$F$12&lt;'Your debts'!$F$7),AL299,0)+IF(AND('Your debts'!$F$13&lt;&gt;"",'Your debts'!$F$7&lt;&gt;"",'Your debts'!$F$13&lt;'Your debts'!$F$7),AQ299,0)+IF(AND('Your debts'!$F$14&lt;&gt;"",'Your debts'!$F$7&lt;&gt;"",'Your debts'!$F$14&lt;'Your debts'!$F$7),AV299,0)+IF(AND('Your debts'!$F$15&lt;&gt;"",'Your debts'!$F$7&lt;&gt;"",'Your debts'!$F$15&lt;'Your debts'!$F$7),BA299,0)))))</f>
        <v/>
      </c>
      <c r="O299" s="33">
        <f>M299-N299</f>
        <v/>
      </c>
      <c r="P299" s="33">
        <f>IF(T298&lt;=0,0,ROUND(T298*(1+'Your debts'!$D$8/1200),2))</f>
        <v/>
      </c>
      <c r="Q299" s="33">
        <f>IF(P299&lt;=0,0,MIN('Your debts'!$E$8,P299))</f>
        <v/>
      </c>
      <c r="R299" s="33">
        <f>P299-Q299</f>
        <v/>
      </c>
      <c r="S299" s="33">
        <f>IF('Your debts'!$F$8="",0,MIN(R299,MAX(0,MAX(0,'Your debts'!$C$19-(G299+L299+Q299+V299+AA299+AF299+AK299+AP299+AU299+AZ299))-(IF(AND('Your debts'!$F$6&lt;&gt;"",'Your debts'!$F$8&lt;&gt;"",'Your debts'!$F$6&lt;'Your debts'!$F$8),H299,0)+IF(AND('Your debts'!$F$7&lt;&gt;"",'Your debts'!$F$8&lt;&gt;"",'Your debts'!$F$7&lt;'Your debts'!$F$8),M299,0)+IF(AND('Your debts'!$F$9&lt;&gt;"",'Your debts'!$F$8&lt;&gt;"",'Your debts'!$F$9&lt;'Your debts'!$F$8),W299,0)+IF(AND('Your debts'!$F$10&lt;&gt;"",'Your debts'!$F$8&lt;&gt;"",'Your debts'!$F$10&lt;'Your debts'!$F$8),AB299,0)+IF(AND('Your debts'!$F$11&lt;&gt;"",'Your debts'!$F$8&lt;&gt;"",'Your debts'!$F$11&lt;'Your debts'!$F$8),AG299,0)+IF(AND('Your debts'!$F$12&lt;&gt;"",'Your debts'!$F$8&lt;&gt;"",'Your debts'!$F$12&lt;'Your debts'!$F$8),AL299,0)+IF(AND('Your debts'!$F$13&lt;&gt;"",'Your debts'!$F$8&lt;&gt;"",'Your debts'!$F$13&lt;'Your debts'!$F$8),AQ299,0)+IF(AND('Your debts'!$F$14&lt;&gt;"",'Your debts'!$F$8&lt;&gt;"",'Your debts'!$F$14&lt;'Your debts'!$F$8),AV299,0)+IF(AND('Your debts'!$F$15&lt;&gt;"",'Your debts'!$F$8&lt;&gt;"",'Your debts'!$F$15&lt;'Your debts'!$F$8),BA299,0)))))</f>
        <v/>
      </c>
      <c r="T299" s="33">
        <f>R299-S299</f>
        <v/>
      </c>
      <c r="U299" s="33">
        <f>IF(Y298&lt;=0,0,ROUND(Y298*(1+'Your debts'!$D$9/1200),2))</f>
        <v/>
      </c>
      <c r="V299" s="33">
        <f>IF(U299&lt;=0,0,MIN('Your debts'!$E$9,U299))</f>
        <v/>
      </c>
      <c r="W299" s="33">
        <f>U299-V299</f>
        <v/>
      </c>
      <c r="X299" s="33">
        <f>IF('Your debts'!$F$9="",0,MIN(W299,MAX(0,MAX(0,'Your debts'!$C$19-(G299+L299+Q299+V299+AA299+AF299+AK299+AP299+AU299+AZ299))-(IF(AND('Your debts'!$F$6&lt;&gt;"",'Your debts'!$F$9&lt;&gt;"",'Your debts'!$F$6&lt;'Your debts'!$F$9),H299,0)+IF(AND('Your debts'!$F$7&lt;&gt;"",'Your debts'!$F$9&lt;&gt;"",'Your debts'!$F$7&lt;'Your debts'!$F$9),M299,0)+IF(AND('Your debts'!$F$8&lt;&gt;"",'Your debts'!$F$9&lt;&gt;"",'Your debts'!$F$8&lt;'Your debts'!$F$9),R299,0)+IF(AND('Your debts'!$F$10&lt;&gt;"",'Your debts'!$F$9&lt;&gt;"",'Your debts'!$F$10&lt;'Your debts'!$F$9),AB299,0)+IF(AND('Your debts'!$F$11&lt;&gt;"",'Your debts'!$F$9&lt;&gt;"",'Your debts'!$F$11&lt;'Your debts'!$F$9),AG299,0)+IF(AND('Your debts'!$F$12&lt;&gt;"",'Your debts'!$F$9&lt;&gt;"",'Your debts'!$F$12&lt;'Your debts'!$F$9),AL299,0)+IF(AND('Your debts'!$F$13&lt;&gt;"",'Your debts'!$F$9&lt;&gt;"",'Your debts'!$F$13&lt;'Your debts'!$F$9),AQ299,0)+IF(AND('Your debts'!$F$14&lt;&gt;"",'Your debts'!$F$9&lt;&gt;"",'Your debts'!$F$14&lt;'Your debts'!$F$9),AV299,0)+IF(AND('Your debts'!$F$15&lt;&gt;"",'Your debts'!$F$9&lt;&gt;"",'Your debts'!$F$15&lt;'Your debts'!$F$9),BA299,0)))))</f>
        <v/>
      </c>
      <c r="Y299" s="33">
        <f>W299-X299</f>
        <v/>
      </c>
      <c r="Z299" s="33">
        <f>IF(AD298&lt;=0,0,ROUND(AD298*(1+'Your debts'!$D$10/1200),2))</f>
        <v/>
      </c>
      <c r="AA299" s="33">
        <f>IF(Z299&lt;=0,0,MIN('Your debts'!$E$10,Z299))</f>
        <v/>
      </c>
      <c r="AB299" s="33">
        <f>Z299-AA299</f>
        <v/>
      </c>
      <c r="AC299" s="33">
        <f>IF('Your debts'!$F$10="",0,MIN(AB299,MAX(0,MAX(0,'Your debts'!$C$19-(G299+L299+Q299+V299+AA299+AF299+AK299+AP299+AU299+AZ299))-(IF(AND('Your debts'!$F$6&lt;&gt;"",'Your debts'!$F$10&lt;&gt;"",'Your debts'!$F$6&lt;'Your debts'!$F$10),H299,0)+IF(AND('Your debts'!$F$7&lt;&gt;"",'Your debts'!$F$10&lt;&gt;"",'Your debts'!$F$7&lt;'Your debts'!$F$10),M299,0)+IF(AND('Your debts'!$F$8&lt;&gt;"",'Your debts'!$F$10&lt;&gt;"",'Your debts'!$F$8&lt;'Your debts'!$F$10),R299,0)+IF(AND('Your debts'!$F$9&lt;&gt;"",'Your debts'!$F$10&lt;&gt;"",'Your debts'!$F$9&lt;'Your debts'!$F$10),W299,0)+IF(AND('Your debts'!$F$11&lt;&gt;"",'Your debts'!$F$10&lt;&gt;"",'Your debts'!$F$11&lt;'Your debts'!$F$10),AG299,0)+IF(AND('Your debts'!$F$12&lt;&gt;"",'Your debts'!$F$10&lt;&gt;"",'Your debts'!$F$12&lt;'Your debts'!$F$10),AL299,0)+IF(AND('Your debts'!$F$13&lt;&gt;"",'Your debts'!$F$10&lt;&gt;"",'Your debts'!$F$13&lt;'Your debts'!$F$10),AQ299,0)+IF(AND('Your debts'!$F$14&lt;&gt;"",'Your debts'!$F$10&lt;&gt;"",'Your debts'!$F$14&lt;'Your debts'!$F$10),AV299,0)+IF(AND('Your debts'!$F$15&lt;&gt;"",'Your debts'!$F$10&lt;&gt;"",'Your debts'!$F$15&lt;'Your debts'!$F$10),BA299,0)))))</f>
        <v/>
      </c>
      <c r="AD299" s="33">
        <f>AB299-AC299</f>
        <v/>
      </c>
      <c r="AE299" s="33">
        <f>IF(AI298&lt;=0,0,ROUND(AI298*(1+'Your debts'!$D$11/1200),2))</f>
        <v/>
      </c>
      <c r="AF299" s="33">
        <f>IF(AE299&lt;=0,0,MIN('Your debts'!$E$11,AE299))</f>
        <v/>
      </c>
      <c r="AG299" s="33">
        <f>AE299-AF299</f>
        <v/>
      </c>
      <c r="AH299" s="33">
        <f>IF('Your debts'!$F$11="",0,MIN(AG299,MAX(0,MAX(0,'Your debts'!$C$19-(G299+L299+Q299+V299+AA299+AF299+AK299+AP299+AU299+AZ299))-(IF(AND('Your debts'!$F$6&lt;&gt;"",'Your debts'!$F$11&lt;&gt;"",'Your debts'!$F$6&lt;'Your debts'!$F$11),H299,0)+IF(AND('Your debts'!$F$7&lt;&gt;"",'Your debts'!$F$11&lt;&gt;"",'Your debts'!$F$7&lt;'Your debts'!$F$11),M299,0)+IF(AND('Your debts'!$F$8&lt;&gt;"",'Your debts'!$F$11&lt;&gt;"",'Your debts'!$F$8&lt;'Your debts'!$F$11),R299,0)+IF(AND('Your debts'!$F$9&lt;&gt;"",'Your debts'!$F$11&lt;&gt;"",'Your debts'!$F$9&lt;'Your debts'!$F$11),W299,0)+IF(AND('Your debts'!$F$10&lt;&gt;"",'Your debts'!$F$11&lt;&gt;"",'Your debts'!$F$10&lt;'Your debts'!$F$11),AB299,0)+IF(AND('Your debts'!$F$12&lt;&gt;"",'Your debts'!$F$11&lt;&gt;"",'Your debts'!$F$12&lt;'Your debts'!$F$11),AL299,0)+IF(AND('Your debts'!$F$13&lt;&gt;"",'Your debts'!$F$11&lt;&gt;"",'Your debts'!$F$13&lt;'Your debts'!$F$11),AQ299,0)+IF(AND('Your debts'!$F$14&lt;&gt;"",'Your debts'!$F$11&lt;&gt;"",'Your debts'!$F$14&lt;'Your debts'!$F$11),AV299,0)+IF(AND('Your debts'!$F$15&lt;&gt;"",'Your debts'!$F$11&lt;&gt;"",'Your debts'!$F$15&lt;'Your debts'!$F$11),BA299,0)))))</f>
        <v/>
      </c>
      <c r="AI299" s="33">
        <f>AG299-AH299</f>
        <v/>
      </c>
      <c r="AJ299" s="33">
        <f>IF(AN298&lt;=0,0,ROUND(AN298*(1+'Your debts'!$D$12/1200),2))</f>
        <v/>
      </c>
      <c r="AK299" s="33">
        <f>IF(AJ299&lt;=0,0,MIN('Your debts'!$E$12,AJ299))</f>
        <v/>
      </c>
      <c r="AL299" s="33">
        <f>AJ299-AK299</f>
        <v/>
      </c>
      <c r="AM299" s="33">
        <f>IF('Your debts'!$F$12="",0,MIN(AL299,MAX(0,MAX(0,'Your debts'!$C$19-(G299+L299+Q299+V299+AA299+AF299+AK299+AP299+AU299+AZ299))-(IF(AND('Your debts'!$F$6&lt;&gt;"",'Your debts'!$F$12&lt;&gt;"",'Your debts'!$F$6&lt;'Your debts'!$F$12),H299,0)+IF(AND('Your debts'!$F$7&lt;&gt;"",'Your debts'!$F$12&lt;&gt;"",'Your debts'!$F$7&lt;'Your debts'!$F$12),M299,0)+IF(AND('Your debts'!$F$8&lt;&gt;"",'Your debts'!$F$12&lt;&gt;"",'Your debts'!$F$8&lt;'Your debts'!$F$12),R299,0)+IF(AND('Your debts'!$F$9&lt;&gt;"",'Your debts'!$F$12&lt;&gt;"",'Your debts'!$F$9&lt;'Your debts'!$F$12),W299,0)+IF(AND('Your debts'!$F$10&lt;&gt;"",'Your debts'!$F$12&lt;&gt;"",'Your debts'!$F$10&lt;'Your debts'!$F$12),AB299,0)+IF(AND('Your debts'!$F$11&lt;&gt;"",'Your debts'!$F$12&lt;&gt;"",'Your debts'!$F$11&lt;'Your debts'!$F$12),AG299,0)+IF(AND('Your debts'!$F$13&lt;&gt;"",'Your debts'!$F$12&lt;&gt;"",'Your debts'!$F$13&lt;'Your debts'!$F$12),AQ299,0)+IF(AND('Your debts'!$F$14&lt;&gt;"",'Your debts'!$F$12&lt;&gt;"",'Your debts'!$F$14&lt;'Your debts'!$F$12),AV299,0)+IF(AND('Your debts'!$F$15&lt;&gt;"",'Your debts'!$F$12&lt;&gt;"",'Your debts'!$F$15&lt;'Your debts'!$F$12),BA299,0)))))</f>
        <v/>
      </c>
      <c r="AN299" s="33">
        <f>AL299-AM299</f>
        <v/>
      </c>
      <c r="AO299" s="33">
        <f>IF(AS298&lt;=0,0,ROUND(AS298*(1+'Your debts'!$D$13/1200),2))</f>
        <v/>
      </c>
      <c r="AP299" s="33">
        <f>IF(AO299&lt;=0,0,MIN('Your debts'!$E$13,AO299))</f>
        <v/>
      </c>
      <c r="AQ299" s="33">
        <f>AO299-AP299</f>
        <v/>
      </c>
      <c r="AR299" s="33">
        <f>IF('Your debts'!$F$13="",0,MIN(AQ299,MAX(0,MAX(0,'Your debts'!$C$19-(G299+L299+Q299+V299+AA299+AF299+AK299+AP299+AU299+AZ299))-(IF(AND('Your debts'!$F$6&lt;&gt;"",'Your debts'!$F$13&lt;&gt;"",'Your debts'!$F$6&lt;'Your debts'!$F$13),H299,0)+IF(AND('Your debts'!$F$7&lt;&gt;"",'Your debts'!$F$13&lt;&gt;"",'Your debts'!$F$7&lt;'Your debts'!$F$13),M299,0)+IF(AND('Your debts'!$F$8&lt;&gt;"",'Your debts'!$F$13&lt;&gt;"",'Your debts'!$F$8&lt;'Your debts'!$F$13),R299,0)+IF(AND('Your debts'!$F$9&lt;&gt;"",'Your debts'!$F$13&lt;&gt;"",'Your debts'!$F$9&lt;'Your debts'!$F$13),W299,0)+IF(AND('Your debts'!$F$10&lt;&gt;"",'Your debts'!$F$13&lt;&gt;"",'Your debts'!$F$10&lt;'Your debts'!$F$13),AB299,0)+IF(AND('Your debts'!$F$11&lt;&gt;"",'Your debts'!$F$13&lt;&gt;"",'Your debts'!$F$11&lt;'Your debts'!$F$13),AG299,0)+IF(AND('Your debts'!$F$12&lt;&gt;"",'Your debts'!$F$13&lt;&gt;"",'Your debts'!$F$12&lt;'Your debts'!$F$13),AL299,0)+IF(AND('Your debts'!$F$14&lt;&gt;"",'Your debts'!$F$13&lt;&gt;"",'Your debts'!$F$14&lt;'Your debts'!$F$13),AV299,0)+IF(AND('Your debts'!$F$15&lt;&gt;"",'Your debts'!$F$13&lt;&gt;"",'Your debts'!$F$15&lt;'Your debts'!$F$13),BA299,0)))))</f>
        <v/>
      </c>
      <c r="AS299" s="33">
        <f>AQ299-AR299</f>
        <v/>
      </c>
      <c r="AT299" s="33">
        <f>IF(AX298&lt;=0,0,ROUND(AX298*(1+'Your debts'!$D$14/1200),2))</f>
        <v/>
      </c>
      <c r="AU299" s="33">
        <f>IF(AT299&lt;=0,0,MIN('Your debts'!$E$14,AT299))</f>
        <v/>
      </c>
      <c r="AV299" s="33">
        <f>AT299-AU299</f>
        <v/>
      </c>
      <c r="AW299" s="33">
        <f>IF('Your debts'!$F$14="",0,MIN(AV299,MAX(0,MAX(0,'Your debts'!$C$19-(G299+L299+Q299+V299+AA299+AF299+AK299+AP299+AU299+AZ299))-(IF(AND('Your debts'!$F$6&lt;&gt;"",'Your debts'!$F$14&lt;&gt;"",'Your debts'!$F$6&lt;'Your debts'!$F$14),H299,0)+IF(AND('Your debts'!$F$7&lt;&gt;"",'Your debts'!$F$14&lt;&gt;"",'Your debts'!$F$7&lt;'Your debts'!$F$14),M299,0)+IF(AND('Your debts'!$F$8&lt;&gt;"",'Your debts'!$F$14&lt;&gt;"",'Your debts'!$F$8&lt;'Your debts'!$F$14),R299,0)+IF(AND('Your debts'!$F$9&lt;&gt;"",'Your debts'!$F$14&lt;&gt;"",'Your debts'!$F$9&lt;'Your debts'!$F$14),W299,0)+IF(AND('Your debts'!$F$10&lt;&gt;"",'Your debts'!$F$14&lt;&gt;"",'Your debts'!$F$10&lt;'Your debts'!$F$14),AB299,0)+IF(AND('Your debts'!$F$11&lt;&gt;"",'Your debts'!$F$14&lt;&gt;"",'Your debts'!$F$11&lt;'Your debts'!$F$14),AG299,0)+IF(AND('Your debts'!$F$12&lt;&gt;"",'Your debts'!$F$14&lt;&gt;"",'Your debts'!$F$12&lt;'Your debts'!$F$14),AL299,0)+IF(AND('Your debts'!$F$13&lt;&gt;"",'Your debts'!$F$14&lt;&gt;"",'Your debts'!$F$13&lt;'Your debts'!$F$14),AQ299,0)+IF(AND('Your debts'!$F$15&lt;&gt;"",'Your debts'!$F$14&lt;&gt;"",'Your debts'!$F$15&lt;'Your debts'!$F$14),BA299,0)))))</f>
        <v/>
      </c>
      <c r="AX299" s="33">
        <f>AV299-AW299</f>
        <v/>
      </c>
      <c r="AY299" s="33">
        <f>IF(BC298&lt;=0,0,ROUND(BC298*(1+'Your debts'!$D$15/1200),2))</f>
        <v/>
      </c>
      <c r="AZ299" s="33">
        <f>IF(AY299&lt;=0,0,MIN('Your debts'!$E$15,AY299))</f>
        <v/>
      </c>
      <c r="BA299" s="33">
        <f>AY299-AZ299</f>
        <v/>
      </c>
      <c r="BB299" s="33">
        <f>IF('Your debts'!$F$15="",0,MIN(BA299,MAX(0,MAX(0,'Your debts'!$C$19-(G299+L299+Q299+V299+AA299+AF299+AK299+AP299+AU299+AZ299))-(IF(AND('Your debts'!$F$6&lt;&gt;"",'Your debts'!$F$15&lt;&gt;"",'Your debts'!$F$6&lt;'Your debts'!$F$15),H299,0)+IF(AND('Your debts'!$F$7&lt;&gt;"",'Your debts'!$F$15&lt;&gt;"",'Your debts'!$F$7&lt;'Your debts'!$F$15),M299,0)+IF(AND('Your debts'!$F$8&lt;&gt;"",'Your debts'!$F$15&lt;&gt;"",'Your debts'!$F$8&lt;'Your debts'!$F$15),R299,0)+IF(AND('Your debts'!$F$9&lt;&gt;"",'Your debts'!$F$15&lt;&gt;"",'Your debts'!$F$9&lt;'Your debts'!$F$15),W299,0)+IF(AND('Your debts'!$F$10&lt;&gt;"",'Your debts'!$F$15&lt;&gt;"",'Your debts'!$F$10&lt;'Your debts'!$F$15),AB299,0)+IF(AND('Your debts'!$F$11&lt;&gt;"",'Your debts'!$F$15&lt;&gt;"",'Your debts'!$F$11&lt;'Your debts'!$F$15),AG299,0)+IF(AND('Your debts'!$F$12&lt;&gt;"",'Your debts'!$F$15&lt;&gt;"",'Your debts'!$F$12&lt;'Your debts'!$F$15),AL299,0)+IF(AND('Your debts'!$F$13&lt;&gt;"",'Your debts'!$F$15&lt;&gt;"",'Your debts'!$F$13&lt;'Your debts'!$F$15),AQ299,0)+IF(AND('Your debts'!$F$14&lt;&gt;"",'Your debts'!$F$15&lt;&gt;"",'Your debts'!$F$14&lt;'Your debts'!$F$15),AV299,0)))))</f>
        <v/>
      </c>
      <c r="BC299" s="33">
        <f>BA299-BB299</f>
        <v/>
      </c>
    </row>
    <row r="300">
      <c r="A300" s="30" t="n">
        <v>285</v>
      </c>
      <c r="B300" s="31">
        <f>EDATE($B$15,285)</f>
        <v/>
      </c>
      <c r="C300" s="32">
        <f>IF(J299&lt;=0,0,F300-J299)+IF(O299&lt;=0,0,K300-O299)+IF(T299&lt;=0,0,P300-T299)+IF(Y299&lt;=0,0,U300-Y299)+IF(AD299&lt;=0,0,Z300-AD299)+IF(AI299&lt;=0,0,AE300-AI299)+IF(AN299&lt;=0,0,AJ300-AN299)+IF(AS299&lt;=0,0,AO300-AS299)+IF(AX299&lt;=0,0,AT300-AX299)+IF(BC299&lt;=0,0,AY300-BC299)</f>
        <v/>
      </c>
      <c r="D300" s="32">
        <f>G300+I300+L300+N300+Q300+S300+V300+X300+AA300+AC300+AF300+AH300+AK300+AM300+AP300+AR300+AU300+AW300+AZ300+BB300</f>
        <v/>
      </c>
      <c r="E300" s="32">
        <f>J300+O300+T300+Y300+AD300+AI300+AN300+AS300+AX300+BC300</f>
        <v/>
      </c>
      <c r="F300" s="33">
        <f>IF(J299&lt;=0,0,ROUND(J299*(1+'Your debts'!$D$6/1200),2))</f>
        <v/>
      </c>
      <c r="G300" s="33">
        <f>IF(F300&lt;=0,0,MIN('Your debts'!$E$6,F300))</f>
        <v/>
      </c>
      <c r="H300" s="33">
        <f>F300-G300</f>
        <v/>
      </c>
      <c r="I300" s="33">
        <f>IF('Your debts'!$F$6="",0,MIN(H300,MAX(0,MAX(0,'Your debts'!$C$19-(G300+L300+Q300+V300+AA300+AF300+AK300+AP300+AU300+AZ300))-(IF(AND('Your debts'!$F$7&lt;&gt;"",'Your debts'!$F$6&lt;&gt;"",'Your debts'!$F$7&lt;'Your debts'!$F$6),M300,0)+IF(AND('Your debts'!$F$8&lt;&gt;"",'Your debts'!$F$6&lt;&gt;"",'Your debts'!$F$8&lt;'Your debts'!$F$6),R300,0)+IF(AND('Your debts'!$F$9&lt;&gt;"",'Your debts'!$F$6&lt;&gt;"",'Your debts'!$F$9&lt;'Your debts'!$F$6),W300,0)+IF(AND('Your debts'!$F$10&lt;&gt;"",'Your debts'!$F$6&lt;&gt;"",'Your debts'!$F$10&lt;'Your debts'!$F$6),AB300,0)+IF(AND('Your debts'!$F$11&lt;&gt;"",'Your debts'!$F$6&lt;&gt;"",'Your debts'!$F$11&lt;'Your debts'!$F$6),AG300,0)+IF(AND('Your debts'!$F$12&lt;&gt;"",'Your debts'!$F$6&lt;&gt;"",'Your debts'!$F$12&lt;'Your debts'!$F$6),AL300,0)+IF(AND('Your debts'!$F$13&lt;&gt;"",'Your debts'!$F$6&lt;&gt;"",'Your debts'!$F$13&lt;'Your debts'!$F$6),AQ300,0)+IF(AND('Your debts'!$F$14&lt;&gt;"",'Your debts'!$F$6&lt;&gt;"",'Your debts'!$F$14&lt;'Your debts'!$F$6),AV300,0)+IF(AND('Your debts'!$F$15&lt;&gt;"",'Your debts'!$F$6&lt;&gt;"",'Your debts'!$F$15&lt;'Your debts'!$F$6),BA300,0)))))</f>
        <v/>
      </c>
      <c r="J300" s="33">
        <f>H300-I300</f>
        <v/>
      </c>
      <c r="K300" s="33">
        <f>IF(O299&lt;=0,0,ROUND(O299*(1+'Your debts'!$D$7/1200),2))</f>
        <v/>
      </c>
      <c r="L300" s="33">
        <f>IF(K300&lt;=0,0,MIN('Your debts'!$E$7,K300))</f>
        <v/>
      </c>
      <c r="M300" s="33">
        <f>K300-L300</f>
        <v/>
      </c>
      <c r="N300" s="33">
        <f>IF('Your debts'!$F$7="",0,MIN(M300,MAX(0,MAX(0,'Your debts'!$C$19-(G300+L300+Q300+V300+AA300+AF300+AK300+AP300+AU300+AZ300))-(IF(AND('Your debts'!$F$6&lt;&gt;"",'Your debts'!$F$7&lt;&gt;"",'Your debts'!$F$6&lt;'Your debts'!$F$7),H300,0)+IF(AND('Your debts'!$F$8&lt;&gt;"",'Your debts'!$F$7&lt;&gt;"",'Your debts'!$F$8&lt;'Your debts'!$F$7),R300,0)+IF(AND('Your debts'!$F$9&lt;&gt;"",'Your debts'!$F$7&lt;&gt;"",'Your debts'!$F$9&lt;'Your debts'!$F$7),W300,0)+IF(AND('Your debts'!$F$10&lt;&gt;"",'Your debts'!$F$7&lt;&gt;"",'Your debts'!$F$10&lt;'Your debts'!$F$7),AB300,0)+IF(AND('Your debts'!$F$11&lt;&gt;"",'Your debts'!$F$7&lt;&gt;"",'Your debts'!$F$11&lt;'Your debts'!$F$7),AG300,0)+IF(AND('Your debts'!$F$12&lt;&gt;"",'Your debts'!$F$7&lt;&gt;"",'Your debts'!$F$12&lt;'Your debts'!$F$7),AL300,0)+IF(AND('Your debts'!$F$13&lt;&gt;"",'Your debts'!$F$7&lt;&gt;"",'Your debts'!$F$13&lt;'Your debts'!$F$7),AQ300,0)+IF(AND('Your debts'!$F$14&lt;&gt;"",'Your debts'!$F$7&lt;&gt;"",'Your debts'!$F$14&lt;'Your debts'!$F$7),AV300,0)+IF(AND('Your debts'!$F$15&lt;&gt;"",'Your debts'!$F$7&lt;&gt;"",'Your debts'!$F$15&lt;'Your debts'!$F$7),BA300,0)))))</f>
        <v/>
      </c>
      <c r="O300" s="33">
        <f>M300-N300</f>
        <v/>
      </c>
      <c r="P300" s="33">
        <f>IF(T299&lt;=0,0,ROUND(T299*(1+'Your debts'!$D$8/1200),2))</f>
        <v/>
      </c>
      <c r="Q300" s="33">
        <f>IF(P300&lt;=0,0,MIN('Your debts'!$E$8,P300))</f>
        <v/>
      </c>
      <c r="R300" s="33">
        <f>P300-Q300</f>
        <v/>
      </c>
      <c r="S300" s="33">
        <f>IF('Your debts'!$F$8="",0,MIN(R300,MAX(0,MAX(0,'Your debts'!$C$19-(G300+L300+Q300+V300+AA300+AF300+AK300+AP300+AU300+AZ300))-(IF(AND('Your debts'!$F$6&lt;&gt;"",'Your debts'!$F$8&lt;&gt;"",'Your debts'!$F$6&lt;'Your debts'!$F$8),H300,0)+IF(AND('Your debts'!$F$7&lt;&gt;"",'Your debts'!$F$8&lt;&gt;"",'Your debts'!$F$7&lt;'Your debts'!$F$8),M300,0)+IF(AND('Your debts'!$F$9&lt;&gt;"",'Your debts'!$F$8&lt;&gt;"",'Your debts'!$F$9&lt;'Your debts'!$F$8),W300,0)+IF(AND('Your debts'!$F$10&lt;&gt;"",'Your debts'!$F$8&lt;&gt;"",'Your debts'!$F$10&lt;'Your debts'!$F$8),AB300,0)+IF(AND('Your debts'!$F$11&lt;&gt;"",'Your debts'!$F$8&lt;&gt;"",'Your debts'!$F$11&lt;'Your debts'!$F$8),AG300,0)+IF(AND('Your debts'!$F$12&lt;&gt;"",'Your debts'!$F$8&lt;&gt;"",'Your debts'!$F$12&lt;'Your debts'!$F$8),AL300,0)+IF(AND('Your debts'!$F$13&lt;&gt;"",'Your debts'!$F$8&lt;&gt;"",'Your debts'!$F$13&lt;'Your debts'!$F$8),AQ300,0)+IF(AND('Your debts'!$F$14&lt;&gt;"",'Your debts'!$F$8&lt;&gt;"",'Your debts'!$F$14&lt;'Your debts'!$F$8),AV300,0)+IF(AND('Your debts'!$F$15&lt;&gt;"",'Your debts'!$F$8&lt;&gt;"",'Your debts'!$F$15&lt;'Your debts'!$F$8),BA300,0)))))</f>
        <v/>
      </c>
      <c r="T300" s="33">
        <f>R300-S300</f>
        <v/>
      </c>
      <c r="U300" s="33">
        <f>IF(Y299&lt;=0,0,ROUND(Y299*(1+'Your debts'!$D$9/1200),2))</f>
        <v/>
      </c>
      <c r="V300" s="33">
        <f>IF(U300&lt;=0,0,MIN('Your debts'!$E$9,U300))</f>
        <v/>
      </c>
      <c r="W300" s="33">
        <f>U300-V300</f>
        <v/>
      </c>
      <c r="X300" s="33">
        <f>IF('Your debts'!$F$9="",0,MIN(W300,MAX(0,MAX(0,'Your debts'!$C$19-(G300+L300+Q300+V300+AA300+AF300+AK300+AP300+AU300+AZ300))-(IF(AND('Your debts'!$F$6&lt;&gt;"",'Your debts'!$F$9&lt;&gt;"",'Your debts'!$F$6&lt;'Your debts'!$F$9),H300,0)+IF(AND('Your debts'!$F$7&lt;&gt;"",'Your debts'!$F$9&lt;&gt;"",'Your debts'!$F$7&lt;'Your debts'!$F$9),M300,0)+IF(AND('Your debts'!$F$8&lt;&gt;"",'Your debts'!$F$9&lt;&gt;"",'Your debts'!$F$8&lt;'Your debts'!$F$9),R300,0)+IF(AND('Your debts'!$F$10&lt;&gt;"",'Your debts'!$F$9&lt;&gt;"",'Your debts'!$F$10&lt;'Your debts'!$F$9),AB300,0)+IF(AND('Your debts'!$F$11&lt;&gt;"",'Your debts'!$F$9&lt;&gt;"",'Your debts'!$F$11&lt;'Your debts'!$F$9),AG300,0)+IF(AND('Your debts'!$F$12&lt;&gt;"",'Your debts'!$F$9&lt;&gt;"",'Your debts'!$F$12&lt;'Your debts'!$F$9),AL300,0)+IF(AND('Your debts'!$F$13&lt;&gt;"",'Your debts'!$F$9&lt;&gt;"",'Your debts'!$F$13&lt;'Your debts'!$F$9),AQ300,0)+IF(AND('Your debts'!$F$14&lt;&gt;"",'Your debts'!$F$9&lt;&gt;"",'Your debts'!$F$14&lt;'Your debts'!$F$9),AV300,0)+IF(AND('Your debts'!$F$15&lt;&gt;"",'Your debts'!$F$9&lt;&gt;"",'Your debts'!$F$15&lt;'Your debts'!$F$9),BA300,0)))))</f>
        <v/>
      </c>
      <c r="Y300" s="33">
        <f>W300-X300</f>
        <v/>
      </c>
      <c r="Z300" s="33">
        <f>IF(AD299&lt;=0,0,ROUND(AD299*(1+'Your debts'!$D$10/1200),2))</f>
        <v/>
      </c>
      <c r="AA300" s="33">
        <f>IF(Z300&lt;=0,0,MIN('Your debts'!$E$10,Z300))</f>
        <v/>
      </c>
      <c r="AB300" s="33">
        <f>Z300-AA300</f>
        <v/>
      </c>
      <c r="AC300" s="33">
        <f>IF('Your debts'!$F$10="",0,MIN(AB300,MAX(0,MAX(0,'Your debts'!$C$19-(G300+L300+Q300+V300+AA300+AF300+AK300+AP300+AU300+AZ300))-(IF(AND('Your debts'!$F$6&lt;&gt;"",'Your debts'!$F$10&lt;&gt;"",'Your debts'!$F$6&lt;'Your debts'!$F$10),H300,0)+IF(AND('Your debts'!$F$7&lt;&gt;"",'Your debts'!$F$10&lt;&gt;"",'Your debts'!$F$7&lt;'Your debts'!$F$10),M300,0)+IF(AND('Your debts'!$F$8&lt;&gt;"",'Your debts'!$F$10&lt;&gt;"",'Your debts'!$F$8&lt;'Your debts'!$F$10),R300,0)+IF(AND('Your debts'!$F$9&lt;&gt;"",'Your debts'!$F$10&lt;&gt;"",'Your debts'!$F$9&lt;'Your debts'!$F$10),W300,0)+IF(AND('Your debts'!$F$11&lt;&gt;"",'Your debts'!$F$10&lt;&gt;"",'Your debts'!$F$11&lt;'Your debts'!$F$10),AG300,0)+IF(AND('Your debts'!$F$12&lt;&gt;"",'Your debts'!$F$10&lt;&gt;"",'Your debts'!$F$12&lt;'Your debts'!$F$10),AL300,0)+IF(AND('Your debts'!$F$13&lt;&gt;"",'Your debts'!$F$10&lt;&gt;"",'Your debts'!$F$13&lt;'Your debts'!$F$10),AQ300,0)+IF(AND('Your debts'!$F$14&lt;&gt;"",'Your debts'!$F$10&lt;&gt;"",'Your debts'!$F$14&lt;'Your debts'!$F$10),AV300,0)+IF(AND('Your debts'!$F$15&lt;&gt;"",'Your debts'!$F$10&lt;&gt;"",'Your debts'!$F$15&lt;'Your debts'!$F$10),BA300,0)))))</f>
        <v/>
      </c>
      <c r="AD300" s="33">
        <f>AB300-AC300</f>
        <v/>
      </c>
      <c r="AE300" s="33">
        <f>IF(AI299&lt;=0,0,ROUND(AI299*(1+'Your debts'!$D$11/1200),2))</f>
        <v/>
      </c>
      <c r="AF300" s="33">
        <f>IF(AE300&lt;=0,0,MIN('Your debts'!$E$11,AE300))</f>
        <v/>
      </c>
      <c r="AG300" s="33">
        <f>AE300-AF300</f>
        <v/>
      </c>
      <c r="AH300" s="33">
        <f>IF('Your debts'!$F$11="",0,MIN(AG300,MAX(0,MAX(0,'Your debts'!$C$19-(G300+L300+Q300+V300+AA300+AF300+AK300+AP300+AU300+AZ300))-(IF(AND('Your debts'!$F$6&lt;&gt;"",'Your debts'!$F$11&lt;&gt;"",'Your debts'!$F$6&lt;'Your debts'!$F$11),H300,0)+IF(AND('Your debts'!$F$7&lt;&gt;"",'Your debts'!$F$11&lt;&gt;"",'Your debts'!$F$7&lt;'Your debts'!$F$11),M300,0)+IF(AND('Your debts'!$F$8&lt;&gt;"",'Your debts'!$F$11&lt;&gt;"",'Your debts'!$F$8&lt;'Your debts'!$F$11),R300,0)+IF(AND('Your debts'!$F$9&lt;&gt;"",'Your debts'!$F$11&lt;&gt;"",'Your debts'!$F$9&lt;'Your debts'!$F$11),W300,0)+IF(AND('Your debts'!$F$10&lt;&gt;"",'Your debts'!$F$11&lt;&gt;"",'Your debts'!$F$10&lt;'Your debts'!$F$11),AB300,0)+IF(AND('Your debts'!$F$12&lt;&gt;"",'Your debts'!$F$11&lt;&gt;"",'Your debts'!$F$12&lt;'Your debts'!$F$11),AL300,0)+IF(AND('Your debts'!$F$13&lt;&gt;"",'Your debts'!$F$11&lt;&gt;"",'Your debts'!$F$13&lt;'Your debts'!$F$11),AQ300,0)+IF(AND('Your debts'!$F$14&lt;&gt;"",'Your debts'!$F$11&lt;&gt;"",'Your debts'!$F$14&lt;'Your debts'!$F$11),AV300,0)+IF(AND('Your debts'!$F$15&lt;&gt;"",'Your debts'!$F$11&lt;&gt;"",'Your debts'!$F$15&lt;'Your debts'!$F$11),BA300,0)))))</f>
        <v/>
      </c>
      <c r="AI300" s="33">
        <f>AG300-AH300</f>
        <v/>
      </c>
      <c r="AJ300" s="33">
        <f>IF(AN299&lt;=0,0,ROUND(AN299*(1+'Your debts'!$D$12/1200),2))</f>
        <v/>
      </c>
      <c r="AK300" s="33">
        <f>IF(AJ300&lt;=0,0,MIN('Your debts'!$E$12,AJ300))</f>
        <v/>
      </c>
      <c r="AL300" s="33">
        <f>AJ300-AK300</f>
        <v/>
      </c>
      <c r="AM300" s="33">
        <f>IF('Your debts'!$F$12="",0,MIN(AL300,MAX(0,MAX(0,'Your debts'!$C$19-(G300+L300+Q300+V300+AA300+AF300+AK300+AP300+AU300+AZ300))-(IF(AND('Your debts'!$F$6&lt;&gt;"",'Your debts'!$F$12&lt;&gt;"",'Your debts'!$F$6&lt;'Your debts'!$F$12),H300,0)+IF(AND('Your debts'!$F$7&lt;&gt;"",'Your debts'!$F$12&lt;&gt;"",'Your debts'!$F$7&lt;'Your debts'!$F$12),M300,0)+IF(AND('Your debts'!$F$8&lt;&gt;"",'Your debts'!$F$12&lt;&gt;"",'Your debts'!$F$8&lt;'Your debts'!$F$12),R300,0)+IF(AND('Your debts'!$F$9&lt;&gt;"",'Your debts'!$F$12&lt;&gt;"",'Your debts'!$F$9&lt;'Your debts'!$F$12),W300,0)+IF(AND('Your debts'!$F$10&lt;&gt;"",'Your debts'!$F$12&lt;&gt;"",'Your debts'!$F$10&lt;'Your debts'!$F$12),AB300,0)+IF(AND('Your debts'!$F$11&lt;&gt;"",'Your debts'!$F$12&lt;&gt;"",'Your debts'!$F$11&lt;'Your debts'!$F$12),AG300,0)+IF(AND('Your debts'!$F$13&lt;&gt;"",'Your debts'!$F$12&lt;&gt;"",'Your debts'!$F$13&lt;'Your debts'!$F$12),AQ300,0)+IF(AND('Your debts'!$F$14&lt;&gt;"",'Your debts'!$F$12&lt;&gt;"",'Your debts'!$F$14&lt;'Your debts'!$F$12),AV300,0)+IF(AND('Your debts'!$F$15&lt;&gt;"",'Your debts'!$F$12&lt;&gt;"",'Your debts'!$F$15&lt;'Your debts'!$F$12),BA300,0)))))</f>
        <v/>
      </c>
      <c r="AN300" s="33">
        <f>AL300-AM300</f>
        <v/>
      </c>
      <c r="AO300" s="33">
        <f>IF(AS299&lt;=0,0,ROUND(AS299*(1+'Your debts'!$D$13/1200),2))</f>
        <v/>
      </c>
      <c r="AP300" s="33">
        <f>IF(AO300&lt;=0,0,MIN('Your debts'!$E$13,AO300))</f>
        <v/>
      </c>
      <c r="AQ300" s="33">
        <f>AO300-AP300</f>
        <v/>
      </c>
      <c r="AR300" s="33">
        <f>IF('Your debts'!$F$13="",0,MIN(AQ300,MAX(0,MAX(0,'Your debts'!$C$19-(G300+L300+Q300+V300+AA300+AF300+AK300+AP300+AU300+AZ300))-(IF(AND('Your debts'!$F$6&lt;&gt;"",'Your debts'!$F$13&lt;&gt;"",'Your debts'!$F$6&lt;'Your debts'!$F$13),H300,0)+IF(AND('Your debts'!$F$7&lt;&gt;"",'Your debts'!$F$13&lt;&gt;"",'Your debts'!$F$7&lt;'Your debts'!$F$13),M300,0)+IF(AND('Your debts'!$F$8&lt;&gt;"",'Your debts'!$F$13&lt;&gt;"",'Your debts'!$F$8&lt;'Your debts'!$F$13),R300,0)+IF(AND('Your debts'!$F$9&lt;&gt;"",'Your debts'!$F$13&lt;&gt;"",'Your debts'!$F$9&lt;'Your debts'!$F$13),W300,0)+IF(AND('Your debts'!$F$10&lt;&gt;"",'Your debts'!$F$13&lt;&gt;"",'Your debts'!$F$10&lt;'Your debts'!$F$13),AB300,0)+IF(AND('Your debts'!$F$11&lt;&gt;"",'Your debts'!$F$13&lt;&gt;"",'Your debts'!$F$11&lt;'Your debts'!$F$13),AG300,0)+IF(AND('Your debts'!$F$12&lt;&gt;"",'Your debts'!$F$13&lt;&gt;"",'Your debts'!$F$12&lt;'Your debts'!$F$13),AL300,0)+IF(AND('Your debts'!$F$14&lt;&gt;"",'Your debts'!$F$13&lt;&gt;"",'Your debts'!$F$14&lt;'Your debts'!$F$13),AV300,0)+IF(AND('Your debts'!$F$15&lt;&gt;"",'Your debts'!$F$13&lt;&gt;"",'Your debts'!$F$15&lt;'Your debts'!$F$13),BA300,0)))))</f>
        <v/>
      </c>
      <c r="AS300" s="33">
        <f>AQ300-AR300</f>
        <v/>
      </c>
      <c r="AT300" s="33">
        <f>IF(AX299&lt;=0,0,ROUND(AX299*(1+'Your debts'!$D$14/1200),2))</f>
        <v/>
      </c>
      <c r="AU300" s="33">
        <f>IF(AT300&lt;=0,0,MIN('Your debts'!$E$14,AT300))</f>
        <v/>
      </c>
      <c r="AV300" s="33">
        <f>AT300-AU300</f>
        <v/>
      </c>
      <c r="AW300" s="33">
        <f>IF('Your debts'!$F$14="",0,MIN(AV300,MAX(0,MAX(0,'Your debts'!$C$19-(G300+L300+Q300+V300+AA300+AF300+AK300+AP300+AU300+AZ300))-(IF(AND('Your debts'!$F$6&lt;&gt;"",'Your debts'!$F$14&lt;&gt;"",'Your debts'!$F$6&lt;'Your debts'!$F$14),H300,0)+IF(AND('Your debts'!$F$7&lt;&gt;"",'Your debts'!$F$14&lt;&gt;"",'Your debts'!$F$7&lt;'Your debts'!$F$14),M300,0)+IF(AND('Your debts'!$F$8&lt;&gt;"",'Your debts'!$F$14&lt;&gt;"",'Your debts'!$F$8&lt;'Your debts'!$F$14),R300,0)+IF(AND('Your debts'!$F$9&lt;&gt;"",'Your debts'!$F$14&lt;&gt;"",'Your debts'!$F$9&lt;'Your debts'!$F$14),W300,0)+IF(AND('Your debts'!$F$10&lt;&gt;"",'Your debts'!$F$14&lt;&gt;"",'Your debts'!$F$10&lt;'Your debts'!$F$14),AB300,0)+IF(AND('Your debts'!$F$11&lt;&gt;"",'Your debts'!$F$14&lt;&gt;"",'Your debts'!$F$11&lt;'Your debts'!$F$14),AG300,0)+IF(AND('Your debts'!$F$12&lt;&gt;"",'Your debts'!$F$14&lt;&gt;"",'Your debts'!$F$12&lt;'Your debts'!$F$14),AL300,0)+IF(AND('Your debts'!$F$13&lt;&gt;"",'Your debts'!$F$14&lt;&gt;"",'Your debts'!$F$13&lt;'Your debts'!$F$14),AQ300,0)+IF(AND('Your debts'!$F$15&lt;&gt;"",'Your debts'!$F$14&lt;&gt;"",'Your debts'!$F$15&lt;'Your debts'!$F$14),BA300,0)))))</f>
        <v/>
      </c>
      <c r="AX300" s="33">
        <f>AV300-AW300</f>
        <v/>
      </c>
      <c r="AY300" s="33">
        <f>IF(BC299&lt;=0,0,ROUND(BC299*(1+'Your debts'!$D$15/1200),2))</f>
        <v/>
      </c>
      <c r="AZ300" s="33">
        <f>IF(AY300&lt;=0,0,MIN('Your debts'!$E$15,AY300))</f>
        <v/>
      </c>
      <c r="BA300" s="33">
        <f>AY300-AZ300</f>
        <v/>
      </c>
      <c r="BB300" s="33">
        <f>IF('Your debts'!$F$15="",0,MIN(BA300,MAX(0,MAX(0,'Your debts'!$C$19-(G300+L300+Q300+V300+AA300+AF300+AK300+AP300+AU300+AZ300))-(IF(AND('Your debts'!$F$6&lt;&gt;"",'Your debts'!$F$15&lt;&gt;"",'Your debts'!$F$6&lt;'Your debts'!$F$15),H300,0)+IF(AND('Your debts'!$F$7&lt;&gt;"",'Your debts'!$F$15&lt;&gt;"",'Your debts'!$F$7&lt;'Your debts'!$F$15),M300,0)+IF(AND('Your debts'!$F$8&lt;&gt;"",'Your debts'!$F$15&lt;&gt;"",'Your debts'!$F$8&lt;'Your debts'!$F$15),R300,0)+IF(AND('Your debts'!$F$9&lt;&gt;"",'Your debts'!$F$15&lt;&gt;"",'Your debts'!$F$9&lt;'Your debts'!$F$15),W300,0)+IF(AND('Your debts'!$F$10&lt;&gt;"",'Your debts'!$F$15&lt;&gt;"",'Your debts'!$F$10&lt;'Your debts'!$F$15),AB300,0)+IF(AND('Your debts'!$F$11&lt;&gt;"",'Your debts'!$F$15&lt;&gt;"",'Your debts'!$F$11&lt;'Your debts'!$F$15),AG300,0)+IF(AND('Your debts'!$F$12&lt;&gt;"",'Your debts'!$F$15&lt;&gt;"",'Your debts'!$F$12&lt;'Your debts'!$F$15),AL300,0)+IF(AND('Your debts'!$F$13&lt;&gt;"",'Your debts'!$F$15&lt;&gt;"",'Your debts'!$F$13&lt;'Your debts'!$F$15),AQ300,0)+IF(AND('Your debts'!$F$14&lt;&gt;"",'Your debts'!$F$15&lt;&gt;"",'Your debts'!$F$14&lt;'Your debts'!$F$15),AV300,0)))))</f>
        <v/>
      </c>
      <c r="BC300" s="33">
        <f>BA300-BB300</f>
        <v/>
      </c>
    </row>
    <row r="301">
      <c r="A301" s="30" t="n">
        <v>286</v>
      </c>
      <c r="B301" s="31">
        <f>EDATE($B$15,286)</f>
        <v/>
      </c>
      <c r="C301" s="32">
        <f>IF(J300&lt;=0,0,F301-J300)+IF(O300&lt;=0,0,K301-O300)+IF(T300&lt;=0,0,P301-T300)+IF(Y300&lt;=0,0,U301-Y300)+IF(AD300&lt;=0,0,Z301-AD300)+IF(AI300&lt;=0,0,AE301-AI300)+IF(AN300&lt;=0,0,AJ301-AN300)+IF(AS300&lt;=0,0,AO301-AS300)+IF(AX300&lt;=0,0,AT301-AX300)+IF(BC300&lt;=0,0,AY301-BC300)</f>
        <v/>
      </c>
      <c r="D301" s="32">
        <f>G301+I301+L301+N301+Q301+S301+V301+X301+AA301+AC301+AF301+AH301+AK301+AM301+AP301+AR301+AU301+AW301+AZ301+BB301</f>
        <v/>
      </c>
      <c r="E301" s="32">
        <f>J301+O301+T301+Y301+AD301+AI301+AN301+AS301+AX301+BC301</f>
        <v/>
      </c>
      <c r="F301" s="33">
        <f>IF(J300&lt;=0,0,ROUND(J300*(1+'Your debts'!$D$6/1200),2))</f>
        <v/>
      </c>
      <c r="G301" s="33">
        <f>IF(F301&lt;=0,0,MIN('Your debts'!$E$6,F301))</f>
        <v/>
      </c>
      <c r="H301" s="33">
        <f>F301-G301</f>
        <v/>
      </c>
      <c r="I301" s="33">
        <f>IF('Your debts'!$F$6="",0,MIN(H301,MAX(0,MAX(0,'Your debts'!$C$19-(G301+L301+Q301+V301+AA301+AF301+AK301+AP301+AU301+AZ301))-(IF(AND('Your debts'!$F$7&lt;&gt;"",'Your debts'!$F$6&lt;&gt;"",'Your debts'!$F$7&lt;'Your debts'!$F$6),M301,0)+IF(AND('Your debts'!$F$8&lt;&gt;"",'Your debts'!$F$6&lt;&gt;"",'Your debts'!$F$8&lt;'Your debts'!$F$6),R301,0)+IF(AND('Your debts'!$F$9&lt;&gt;"",'Your debts'!$F$6&lt;&gt;"",'Your debts'!$F$9&lt;'Your debts'!$F$6),W301,0)+IF(AND('Your debts'!$F$10&lt;&gt;"",'Your debts'!$F$6&lt;&gt;"",'Your debts'!$F$10&lt;'Your debts'!$F$6),AB301,0)+IF(AND('Your debts'!$F$11&lt;&gt;"",'Your debts'!$F$6&lt;&gt;"",'Your debts'!$F$11&lt;'Your debts'!$F$6),AG301,0)+IF(AND('Your debts'!$F$12&lt;&gt;"",'Your debts'!$F$6&lt;&gt;"",'Your debts'!$F$12&lt;'Your debts'!$F$6),AL301,0)+IF(AND('Your debts'!$F$13&lt;&gt;"",'Your debts'!$F$6&lt;&gt;"",'Your debts'!$F$13&lt;'Your debts'!$F$6),AQ301,0)+IF(AND('Your debts'!$F$14&lt;&gt;"",'Your debts'!$F$6&lt;&gt;"",'Your debts'!$F$14&lt;'Your debts'!$F$6),AV301,0)+IF(AND('Your debts'!$F$15&lt;&gt;"",'Your debts'!$F$6&lt;&gt;"",'Your debts'!$F$15&lt;'Your debts'!$F$6),BA301,0)))))</f>
        <v/>
      </c>
      <c r="J301" s="33">
        <f>H301-I301</f>
        <v/>
      </c>
      <c r="K301" s="33">
        <f>IF(O300&lt;=0,0,ROUND(O300*(1+'Your debts'!$D$7/1200),2))</f>
        <v/>
      </c>
      <c r="L301" s="33">
        <f>IF(K301&lt;=0,0,MIN('Your debts'!$E$7,K301))</f>
        <v/>
      </c>
      <c r="M301" s="33">
        <f>K301-L301</f>
        <v/>
      </c>
      <c r="N301" s="33">
        <f>IF('Your debts'!$F$7="",0,MIN(M301,MAX(0,MAX(0,'Your debts'!$C$19-(G301+L301+Q301+V301+AA301+AF301+AK301+AP301+AU301+AZ301))-(IF(AND('Your debts'!$F$6&lt;&gt;"",'Your debts'!$F$7&lt;&gt;"",'Your debts'!$F$6&lt;'Your debts'!$F$7),H301,0)+IF(AND('Your debts'!$F$8&lt;&gt;"",'Your debts'!$F$7&lt;&gt;"",'Your debts'!$F$8&lt;'Your debts'!$F$7),R301,0)+IF(AND('Your debts'!$F$9&lt;&gt;"",'Your debts'!$F$7&lt;&gt;"",'Your debts'!$F$9&lt;'Your debts'!$F$7),W301,0)+IF(AND('Your debts'!$F$10&lt;&gt;"",'Your debts'!$F$7&lt;&gt;"",'Your debts'!$F$10&lt;'Your debts'!$F$7),AB301,0)+IF(AND('Your debts'!$F$11&lt;&gt;"",'Your debts'!$F$7&lt;&gt;"",'Your debts'!$F$11&lt;'Your debts'!$F$7),AG301,0)+IF(AND('Your debts'!$F$12&lt;&gt;"",'Your debts'!$F$7&lt;&gt;"",'Your debts'!$F$12&lt;'Your debts'!$F$7),AL301,0)+IF(AND('Your debts'!$F$13&lt;&gt;"",'Your debts'!$F$7&lt;&gt;"",'Your debts'!$F$13&lt;'Your debts'!$F$7),AQ301,0)+IF(AND('Your debts'!$F$14&lt;&gt;"",'Your debts'!$F$7&lt;&gt;"",'Your debts'!$F$14&lt;'Your debts'!$F$7),AV301,0)+IF(AND('Your debts'!$F$15&lt;&gt;"",'Your debts'!$F$7&lt;&gt;"",'Your debts'!$F$15&lt;'Your debts'!$F$7),BA301,0)))))</f>
        <v/>
      </c>
      <c r="O301" s="33">
        <f>M301-N301</f>
        <v/>
      </c>
      <c r="P301" s="33">
        <f>IF(T300&lt;=0,0,ROUND(T300*(1+'Your debts'!$D$8/1200),2))</f>
        <v/>
      </c>
      <c r="Q301" s="33">
        <f>IF(P301&lt;=0,0,MIN('Your debts'!$E$8,P301))</f>
        <v/>
      </c>
      <c r="R301" s="33">
        <f>P301-Q301</f>
        <v/>
      </c>
      <c r="S301" s="33">
        <f>IF('Your debts'!$F$8="",0,MIN(R301,MAX(0,MAX(0,'Your debts'!$C$19-(G301+L301+Q301+V301+AA301+AF301+AK301+AP301+AU301+AZ301))-(IF(AND('Your debts'!$F$6&lt;&gt;"",'Your debts'!$F$8&lt;&gt;"",'Your debts'!$F$6&lt;'Your debts'!$F$8),H301,0)+IF(AND('Your debts'!$F$7&lt;&gt;"",'Your debts'!$F$8&lt;&gt;"",'Your debts'!$F$7&lt;'Your debts'!$F$8),M301,0)+IF(AND('Your debts'!$F$9&lt;&gt;"",'Your debts'!$F$8&lt;&gt;"",'Your debts'!$F$9&lt;'Your debts'!$F$8),W301,0)+IF(AND('Your debts'!$F$10&lt;&gt;"",'Your debts'!$F$8&lt;&gt;"",'Your debts'!$F$10&lt;'Your debts'!$F$8),AB301,0)+IF(AND('Your debts'!$F$11&lt;&gt;"",'Your debts'!$F$8&lt;&gt;"",'Your debts'!$F$11&lt;'Your debts'!$F$8),AG301,0)+IF(AND('Your debts'!$F$12&lt;&gt;"",'Your debts'!$F$8&lt;&gt;"",'Your debts'!$F$12&lt;'Your debts'!$F$8),AL301,0)+IF(AND('Your debts'!$F$13&lt;&gt;"",'Your debts'!$F$8&lt;&gt;"",'Your debts'!$F$13&lt;'Your debts'!$F$8),AQ301,0)+IF(AND('Your debts'!$F$14&lt;&gt;"",'Your debts'!$F$8&lt;&gt;"",'Your debts'!$F$14&lt;'Your debts'!$F$8),AV301,0)+IF(AND('Your debts'!$F$15&lt;&gt;"",'Your debts'!$F$8&lt;&gt;"",'Your debts'!$F$15&lt;'Your debts'!$F$8),BA301,0)))))</f>
        <v/>
      </c>
      <c r="T301" s="33">
        <f>R301-S301</f>
        <v/>
      </c>
      <c r="U301" s="33">
        <f>IF(Y300&lt;=0,0,ROUND(Y300*(1+'Your debts'!$D$9/1200),2))</f>
        <v/>
      </c>
      <c r="V301" s="33">
        <f>IF(U301&lt;=0,0,MIN('Your debts'!$E$9,U301))</f>
        <v/>
      </c>
      <c r="W301" s="33">
        <f>U301-V301</f>
        <v/>
      </c>
      <c r="X301" s="33">
        <f>IF('Your debts'!$F$9="",0,MIN(W301,MAX(0,MAX(0,'Your debts'!$C$19-(G301+L301+Q301+V301+AA301+AF301+AK301+AP301+AU301+AZ301))-(IF(AND('Your debts'!$F$6&lt;&gt;"",'Your debts'!$F$9&lt;&gt;"",'Your debts'!$F$6&lt;'Your debts'!$F$9),H301,0)+IF(AND('Your debts'!$F$7&lt;&gt;"",'Your debts'!$F$9&lt;&gt;"",'Your debts'!$F$7&lt;'Your debts'!$F$9),M301,0)+IF(AND('Your debts'!$F$8&lt;&gt;"",'Your debts'!$F$9&lt;&gt;"",'Your debts'!$F$8&lt;'Your debts'!$F$9),R301,0)+IF(AND('Your debts'!$F$10&lt;&gt;"",'Your debts'!$F$9&lt;&gt;"",'Your debts'!$F$10&lt;'Your debts'!$F$9),AB301,0)+IF(AND('Your debts'!$F$11&lt;&gt;"",'Your debts'!$F$9&lt;&gt;"",'Your debts'!$F$11&lt;'Your debts'!$F$9),AG301,0)+IF(AND('Your debts'!$F$12&lt;&gt;"",'Your debts'!$F$9&lt;&gt;"",'Your debts'!$F$12&lt;'Your debts'!$F$9),AL301,0)+IF(AND('Your debts'!$F$13&lt;&gt;"",'Your debts'!$F$9&lt;&gt;"",'Your debts'!$F$13&lt;'Your debts'!$F$9),AQ301,0)+IF(AND('Your debts'!$F$14&lt;&gt;"",'Your debts'!$F$9&lt;&gt;"",'Your debts'!$F$14&lt;'Your debts'!$F$9),AV301,0)+IF(AND('Your debts'!$F$15&lt;&gt;"",'Your debts'!$F$9&lt;&gt;"",'Your debts'!$F$15&lt;'Your debts'!$F$9),BA301,0)))))</f>
        <v/>
      </c>
      <c r="Y301" s="33">
        <f>W301-X301</f>
        <v/>
      </c>
      <c r="Z301" s="33">
        <f>IF(AD300&lt;=0,0,ROUND(AD300*(1+'Your debts'!$D$10/1200),2))</f>
        <v/>
      </c>
      <c r="AA301" s="33">
        <f>IF(Z301&lt;=0,0,MIN('Your debts'!$E$10,Z301))</f>
        <v/>
      </c>
      <c r="AB301" s="33">
        <f>Z301-AA301</f>
        <v/>
      </c>
      <c r="AC301" s="33">
        <f>IF('Your debts'!$F$10="",0,MIN(AB301,MAX(0,MAX(0,'Your debts'!$C$19-(G301+L301+Q301+V301+AA301+AF301+AK301+AP301+AU301+AZ301))-(IF(AND('Your debts'!$F$6&lt;&gt;"",'Your debts'!$F$10&lt;&gt;"",'Your debts'!$F$6&lt;'Your debts'!$F$10),H301,0)+IF(AND('Your debts'!$F$7&lt;&gt;"",'Your debts'!$F$10&lt;&gt;"",'Your debts'!$F$7&lt;'Your debts'!$F$10),M301,0)+IF(AND('Your debts'!$F$8&lt;&gt;"",'Your debts'!$F$10&lt;&gt;"",'Your debts'!$F$8&lt;'Your debts'!$F$10),R301,0)+IF(AND('Your debts'!$F$9&lt;&gt;"",'Your debts'!$F$10&lt;&gt;"",'Your debts'!$F$9&lt;'Your debts'!$F$10),W301,0)+IF(AND('Your debts'!$F$11&lt;&gt;"",'Your debts'!$F$10&lt;&gt;"",'Your debts'!$F$11&lt;'Your debts'!$F$10),AG301,0)+IF(AND('Your debts'!$F$12&lt;&gt;"",'Your debts'!$F$10&lt;&gt;"",'Your debts'!$F$12&lt;'Your debts'!$F$10),AL301,0)+IF(AND('Your debts'!$F$13&lt;&gt;"",'Your debts'!$F$10&lt;&gt;"",'Your debts'!$F$13&lt;'Your debts'!$F$10),AQ301,0)+IF(AND('Your debts'!$F$14&lt;&gt;"",'Your debts'!$F$10&lt;&gt;"",'Your debts'!$F$14&lt;'Your debts'!$F$10),AV301,0)+IF(AND('Your debts'!$F$15&lt;&gt;"",'Your debts'!$F$10&lt;&gt;"",'Your debts'!$F$15&lt;'Your debts'!$F$10),BA301,0)))))</f>
        <v/>
      </c>
      <c r="AD301" s="33">
        <f>AB301-AC301</f>
        <v/>
      </c>
      <c r="AE301" s="33">
        <f>IF(AI300&lt;=0,0,ROUND(AI300*(1+'Your debts'!$D$11/1200),2))</f>
        <v/>
      </c>
      <c r="AF301" s="33">
        <f>IF(AE301&lt;=0,0,MIN('Your debts'!$E$11,AE301))</f>
        <v/>
      </c>
      <c r="AG301" s="33">
        <f>AE301-AF301</f>
        <v/>
      </c>
      <c r="AH301" s="33">
        <f>IF('Your debts'!$F$11="",0,MIN(AG301,MAX(0,MAX(0,'Your debts'!$C$19-(G301+L301+Q301+V301+AA301+AF301+AK301+AP301+AU301+AZ301))-(IF(AND('Your debts'!$F$6&lt;&gt;"",'Your debts'!$F$11&lt;&gt;"",'Your debts'!$F$6&lt;'Your debts'!$F$11),H301,0)+IF(AND('Your debts'!$F$7&lt;&gt;"",'Your debts'!$F$11&lt;&gt;"",'Your debts'!$F$7&lt;'Your debts'!$F$11),M301,0)+IF(AND('Your debts'!$F$8&lt;&gt;"",'Your debts'!$F$11&lt;&gt;"",'Your debts'!$F$8&lt;'Your debts'!$F$11),R301,0)+IF(AND('Your debts'!$F$9&lt;&gt;"",'Your debts'!$F$11&lt;&gt;"",'Your debts'!$F$9&lt;'Your debts'!$F$11),W301,0)+IF(AND('Your debts'!$F$10&lt;&gt;"",'Your debts'!$F$11&lt;&gt;"",'Your debts'!$F$10&lt;'Your debts'!$F$11),AB301,0)+IF(AND('Your debts'!$F$12&lt;&gt;"",'Your debts'!$F$11&lt;&gt;"",'Your debts'!$F$12&lt;'Your debts'!$F$11),AL301,0)+IF(AND('Your debts'!$F$13&lt;&gt;"",'Your debts'!$F$11&lt;&gt;"",'Your debts'!$F$13&lt;'Your debts'!$F$11),AQ301,0)+IF(AND('Your debts'!$F$14&lt;&gt;"",'Your debts'!$F$11&lt;&gt;"",'Your debts'!$F$14&lt;'Your debts'!$F$11),AV301,0)+IF(AND('Your debts'!$F$15&lt;&gt;"",'Your debts'!$F$11&lt;&gt;"",'Your debts'!$F$15&lt;'Your debts'!$F$11),BA301,0)))))</f>
        <v/>
      </c>
      <c r="AI301" s="33">
        <f>AG301-AH301</f>
        <v/>
      </c>
      <c r="AJ301" s="33">
        <f>IF(AN300&lt;=0,0,ROUND(AN300*(1+'Your debts'!$D$12/1200),2))</f>
        <v/>
      </c>
      <c r="AK301" s="33">
        <f>IF(AJ301&lt;=0,0,MIN('Your debts'!$E$12,AJ301))</f>
        <v/>
      </c>
      <c r="AL301" s="33">
        <f>AJ301-AK301</f>
        <v/>
      </c>
      <c r="AM301" s="33">
        <f>IF('Your debts'!$F$12="",0,MIN(AL301,MAX(0,MAX(0,'Your debts'!$C$19-(G301+L301+Q301+V301+AA301+AF301+AK301+AP301+AU301+AZ301))-(IF(AND('Your debts'!$F$6&lt;&gt;"",'Your debts'!$F$12&lt;&gt;"",'Your debts'!$F$6&lt;'Your debts'!$F$12),H301,0)+IF(AND('Your debts'!$F$7&lt;&gt;"",'Your debts'!$F$12&lt;&gt;"",'Your debts'!$F$7&lt;'Your debts'!$F$12),M301,0)+IF(AND('Your debts'!$F$8&lt;&gt;"",'Your debts'!$F$12&lt;&gt;"",'Your debts'!$F$8&lt;'Your debts'!$F$12),R301,0)+IF(AND('Your debts'!$F$9&lt;&gt;"",'Your debts'!$F$12&lt;&gt;"",'Your debts'!$F$9&lt;'Your debts'!$F$12),W301,0)+IF(AND('Your debts'!$F$10&lt;&gt;"",'Your debts'!$F$12&lt;&gt;"",'Your debts'!$F$10&lt;'Your debts'!$F$12),AB301,0)+IF(AND('Your debts'!$F$11&lt;&gt;"",'Your debts'!$F$12&lt;&gt;"",'Your debts'!$F$11&lt;'Your debts'!$F$12),AG301,0)+IF(AND('Your debts'!$F$13&lt;&gt;"",'Your debts'!$F$12&lt;&gt;"",'Your debts'!$F$13&lt;'Your debts'!$F$12),AQ301,0)+IF(AND('Your debts'!$F$14&lt;&gt;"",'Your debts'!$F$12&lt;&gt;"",'Your debts'!$F$14&lt;'Your debts'!$F$12),AV301,0)+IF(AND('Your debts'!$F$15&lt;&gt;"",'Your debts'!$F$12&lt;&gt;"",'Your debts'!$F$15&lt;'Your debts'!$F$12),BA301,0)))))</f>
        <v/>
      </c>
      <c r="AN301" s="33">
        <f>AL301-AM301</f>
        <v/>
      </c>
      <c r="AO301" s="33">
        <f>IF(AS300&lt;=0,0,ROUND(AS300*(1+'Your debts'!$D$13/1200),2))</f>
        <v/>
      </c>
      <c r="AP301" s="33">
        <f>IF(AO301&lt;=0,0,MIN('Your debts'!$E$13,AO301))</f>
        <v/>
      </c>
      <c r="AQ301" s="33">
        <f>AO301-AP301</f>
        <v/>
      </c>
      <c r="AR301" s="33">
        <f>IF('Your debts'!$F$13="",0,MIN(AQ301,MAX(0,MAX(0,'Your debts'!$C$19-(G301+L301+Q301+V301+AA301+AF301+AK301+AP301+AU301+AZ301))-(IF(AND('Your debts'!$F$6&lt;&gt;"",'Your debts'!$F$13&lt;&gt;"",'Your debts'!$F$6&lt;'Your debts'!$F$13),H301,0)+IF(AND('Your debts'!$F$7&lt;&gt;"",'Your debts'!$F$13&lt;&gt;"",'Your debts'!$F$7&lt;'Your debts'!$F$13),M301,0)+IF(AND('Your debts'!$F$8&lt;&gt;"",'Your debts'!$F$13&lt;&gt;"",'Your debts'!$F$8&lt;'Your debts'!$F$13),R301,0)+IF(AND('Your debts'!$F$9&lt;&gt;"",'Your debts'!$F$13&lt;&gt;"",'Your debts'!$F$9&lt;'Your debts'!$F$13),W301,0)+IF(AND('Your debts'!$F$10&lt;&gt;"",'Your debts'!$F$13&lt;&gt;"",'Your debts'!$F$10&lt;'Your debts'!$F$13),AB301,0)+IF(AND('Your debts'!$F$11&lt;&gt;"",'Your debts'!$F$13&lt;&gt;"",'Your debts'!$F$11&lt;'Your debts'!$F$13),AG301,0)+IF(AND('Your debts'!$F$12&lt;&gt;"",'Your debts'!$F$13&lt;&gt;"",'Your debts'!$F$12&lt;'Your debts'!$F$13),AL301,0)+IF(AND('Your debts'!$F$14&lt;&gt;"",'Your debts'!$F$13&lt;&gt;"",'Your debts'!$F$14&lt;'Your debts'!$F$13),AV301,0)+IF(AND('Your debts'!$F$15&lt;&gt;"",'Your debts'!$F$13&lt;&gt;"",'Your debts'!$F$15&lt;'Your debts'!$F$13),BA301,0)))))</f>
        <v/>
      </c>
      <c r="AS301" s="33">
        <f>AQ301-AR301</f>
        <v/>
      </c>
      <c r="AT301" s="33">
        <f>IF(AX300&lt;=0,0,ROUND(AX300*(1+'Your debts'!$D$14/1200),2))</f>
        <v/>
      </c>
      <c r="AU301" s="33">
        <f>IF(AT301&lt;=0,0,MIN('Your debts'!$E$14,AT301))</f>
        <v/>
      </c>
      <c r="AV301" s="33">
        <f>AT301-AU301</f>
        <v/>
      </c>
      <c r="AW301" s="33">
        <f>IF('Your debts'!$F$14="",0,MIN(AV301,MAX(0,MAX(0,'Your debts'!$C$19-(G301+L301+Q301+V301+AA301+AF301+AK301+AP301+AU301+AZ301))-(IF(AND('Your debts'!$F$6&lt;&gt;"",'Your debts'!$F$14&lt;&gt;"",'Your debts'!$F$6&lt;'Your debts'!$F$14),H301,0)+IF(AND('Your debts'!$F$7&lt;&gt;"",'Your debts'!$F$14&lt;&gt;"",'Your debts'!$F$7&lt;'Your debts'!$F$14),M301,0)+IF(AND('Your debts'!$F$8&lt;&gt;"",'Your debts'!$F$14&lt;&gt;"",'Your debts'!$F$8&lt;'Your debts'!$F$14),R301,0)+IF(AND('Your debts'!$F$9&lt;&gt;"",'Your debts'!$F$14&lt;&gt;"",'Your debts'!$F$9&lt;'Your debts'!$F$14),W301,0)+IF(AND('Your debts'!$F$10&lt;&gt;"",'Your debts'!$F$14&lt;&gt;"",'Your debts'!$F$10&lt;'Your debts'!$F$14),AB301,0)+IF(AND('Your debts'!$F$11&lt;&gt;"",'Your debts'!$F$14&lt;&gt;"",'Your debts'!$F$11&lt;'Your debts'!$F$14),AG301,0)+IF(AND('Your debts'!$F$12&lt;&gt;"",'Your debts'!$F$14&lt;&gt;"",'Your debts'!$F$12&lt;'Your debts'!$F$14),AL301,0)+IF(AND('Your debts'!$F$13&lt;&gt;"",'Your debts'!$F$14&lt;&gt;"",'Your debts'!$F$13&lt;'Your debts'!$F$14),AQ301,0)+IF(AND('Your debts'!$F$15&lt;&gt;"",'Your debts'!$F$14&lt;&gt;"",'Your debts'!$F$15&lt;'Your debts'!$F$14),BA301,0)))))</f>
        <v/>
      </c>
      <c r="AX301" s="33">
        <f>AV301-AW301</f>
        <v/>
      </c>
      <c r="AY301" s="33">
        <f>IF(BC300&lt;=0,0,ROUND(BC300*(1+'Your debts'!$D$15/1200),2))</f>
        <v/>
      </c>
      <c r="AZ301" s="33">
        <f>IF(AY301&lt;=0,0,MIN('Your debts'!$E$15,AY301))</f>
        <v/>
      </c>
      <c r="BA301" s="33">
        <f>AY301-AZ301</f>
        <v/>
      </c>
      <c r="BB301" s="33">
        <f>IF('Your debts'!$F$15="",0,MIN(BA301,MAX(0,MAX(0,'Your debts'!$C$19-(G301+L301+Q301+V301+AA301+AF301+AK301+AP301+AU301+AZ301))-(IF(AND('Your debts'!$F$6&lt;&gt;"",'Your debts'!$F$15&lt;&gt;"",'Your debts'!$F$6&lt;'Your debts'!$F$15),H301,0)+IF(AND('Your debts'!$F$7&lt;&gt;"",'Your debts'!$F$15&lt;&gt;"",'Your debts'!$F$7&lt;'Your debts'!$F$15),M301,0)+IF(AND('Your debts'!$F$8&lt;&gt;"",'Your debts'!$F$15&lt;&gt;"",'Your debts'!$F$8&lt;'Your debts'!$F$15),R301,0)+IF(AND('Your debts'!$F$9&lt;&gt;"",'Your debts'!$F$15&lt;&gt;"",'Your debts'!$F$9&lt;'Your debts'!$F$15),W301,0)+IF(AND('Your debts'!$F$10&lt;&gt;"",'Your debts'!$F$15&lt;&gt;"",'Your debts'!$F$10&lt;'Your debts'!$F$15),AB301,0)+IF(AND('Your debts'!$F$11&lt;&gt;"",'Your debts'!$F$15&lt;&gt;"",'Your debts'!$F$11&lt;'Your debts'!$F$15),AG301,0)+IF(AND('Your debts'!$F$12&lt;&gt;"",'Your debts'!$F$15&lt;&gt;"",'Your debts'!$F$12&lt;'Your debts'!$F$15),AL301,0)+IF(AND('Your debts'!$F$13&lt;&gt;"",'Your debts'!$F$15&lt;&gt;"",'Your debts'!$F$13&lt;'Your debts'!$F$15),AQ301,0)+IF(AND('Your debts'!$F$14&lt;&gt;"",'Your debts'!$F$15&lt;&gt;"",'Your debts'!$F$14&lt;'Your debts'!$F$15),AV301,0)))))</f>
        <v/>
      </c>
      <c r="BC301" s="33">
        <f>BA301-BB301</f>
        <v/>
      </c>
    </row>
    <row r="302">
      <c r="A302" s="30" t="n">
        <v>287</v>
      </c>
      <c r="B302" s="31">
        <f>EDATE($B$15,287)</f>
        <v/>
      </c>
      <c r="C302" s="32">
        <f>IF(J301&lt;=0,0,F302-J301)+IF(O301&lt;=0,0,K302-O301)+IF(T301&lt;=0,0,P302-T301)+IF(Y301&lt;=0,0,U302-Y301)+IF(AD301&lt;=0,0,Z302-AD301)+IF(AI301&lt;=0,0,AE302-AI301)+IF(AN301&lt;=0,0,AJ302-AN301)+IF(AS301&lt;=0,0,AO302-AS301)+IF(AX301&lt;=0,0,AT302-AX301)+IF(BC301&lt;=0,0,AY302-BC301)</f>
        <v/>
      </c>
      <c r="D302" s="32">
        <f>G302+I302+L302+N302+Q302+S302+V302+X302+AA302+AC302+AF302+AH302+AK302+AM302+AP302+AR302+AU302+AW302+AZ302+BB302</f>
        <v/>
      </c>
      <c r="E302" s="32">
        <f>J302+O302+T302+Y302+AD302+AI302+AN302+AS302+AX302+BC302</f>
        <v/>
      </c>
      <c r="F302" s="33">
        <f>IF(J301&lt;=0,0,ROUND(J301*(1+'Your debts'!$D$6/1200),2))</f>
        <v/>
      </c>
      <c r="G302" s="33">
        <f>IF(F302&lt;=0,0,MIN('Your debts'!$E$6,F302))</f>
        <v/>
      </c>
      <c r="H302" s="33">
        <f>F302-G302</f>
        <v/>
      </c>
      <c r="I302" s="33">
        <f>IF('Your debts'!$F$6="",0,MIN(H302,MAX(0,MAX(0,'Your debts'!$C$19-(G302+L302+Q302+V302+AA302+AF302+AK302+AP302+AU302+AZ302))-(IF(AND('Your debts'!$F$7&lt;&gt;"",'Your debts'!$F$6&lt;&gt;"",'Your debts'!$F$7&lt;'Your debts'!$F$6),M302,0)+IF(AND('Your debts'!$F$8&lt;&gt;"",'Your debts'!$F$6&lt;&gt;"",'Your debts'!$F$8&lt;'Your debts'!$F$6),R302,0)+IF(AND('Your debts'!$F$9&lt;&gt;"",'Your debts'!$F$6&lt;&gt;"",'Your debts'!$F$9&lt;'Your debts'!$F$6),W302,0)+IF(AND('Your debts'!$F$10&lt;&gt;"",'Your debts'!$F$6&lt;&gt;"",'Your debts'!$F$10&lt;'Your debts'!$F$6),AB302,0)+IF(AND('Your debts'!$F$11&lt;&gt;"",'Your debts'!$F$6&lt;&gt;"",'Your debts'!$F$11&lt;'Your debts'!$F$6),AG302,0)+IF(AND('Your debts'!$F$12&lt;&gt;"",'Your debts'!$F$6&lt;&gt;"",'Your debts'!$F$12&lt;'Your debts'!$F$6),AL302,0)+IF(AND('Your debts'!$F$13&lt;&gt;"",'Your debts'!$F$6&lt;&gt;"",'Your debts'!$F$13&lt;'Your debts'!$F$6),AQ302,0)+IF(AND('Your debts'!$F$14&lt;&gt;"",'Your debts'!$F$6&lt;&gt;"",'Your debts'!$F$14&lt;'Your debts'!$F$6),AV302,0)+IF(AND('Your debts'!$F$15&lt;&gt;"",'Your debts'!$F$6&lt;&gt;"",'Your debts'!$F$15&lt;'Your debts'!$F$6),BA302,0)))))</f>
        <v/>
      </c>
      <c r="J302" s="33">
        <f>H302-I302</f>
        <v/>
      </c>
      <c r="K302" s="33">
        <f>IF(O301&lt;=0,0,ROUND(O301*(1+'Your debts'!$D$7/1200),2))</f>
        <v/>
      </c>
      <c r="L302" s="33">
        <f>IF(K302&lt;=0,0,MIN('Your debts'!$E$7,K302))</f>
        <v/>
      </c>
      <c r="M302" s="33">
        <f>K302-L302</f>
        <v/>
      </c>
      <c r="N302" s="33">
        <f>IF('Your debts'!$F$7="",0,MIN(M302,MAX(0,MAX(0,'Your debts'!$C$19-(G302+L302+Q302+V302+AA302+AF302+AK302+AP302+AU302+AZ302))-(IF(AND('Your debts'!$F$6&lt;&gt;"",'Your debts'!$F$7&lt;&gt;"",'Your debts'!$F$6&lt;'Your debts'!$F$7),H302,0)+IF(AND('Your debts'!$F$8&lt;&gt;"",'Your debts'!$F$7&lt;&gt;"",'Your debts'!$F$8&lt;'Your debts'!$F$7),R302,0)+IF(AND('Your debts'!$F$9&lt;&gt;"",'Your debts'!$F$7&lt;&gt;"",'Your debts'!$F$9&lt;'Your debts'!$F$7),W302,0)+IF(AND('Your debts'!$F$10&lt;&gt;"",'Your debts'!$F$7&lt;&gt;"",'Your debts'!$F$10&lt;'Your debts'!$F$7),AB302,0)+IF(AND('Your debts'!$F$11&lt;&gt;"",'Your debts'!$F$7&lt;&gt;"",'Your debts'!$F$11&lt;'Your debts'!$F$7),AG302,0)+IF(AND('Your debts'!$F$12&lt;&gt;"",'Your debts'!$F$7&lt;&gt;"",'Your debts'!$F$12&lt;'Your debts'!$F$7),AL302,0)+IF(AND('Your debts'!$F$13&lt;&gt;"",'Your debts'!$F$7&lt;&gt;"",'Your debts'!$F$13&lt;'Your debts'!$F$7),AQ302,0)+IF(AND('Your debts'!$F$14&lt;&gt;"",'Your debts'!$F$7&lt;&gt;"",'Your debts'!$F$14&lt;'Your debts'!$F$7),AV302,0)+IF(AND('Your debts'!$F$15&lt;&gt;"",'Your debts'!$F$7&lt;&gt;"",'Your debts'!$F$15&lt;'Your debts'!$F$7),BA302,0)))))</f>
        <v/>
      </c>
      <c r="O302" s="33">
        <f>M302-N302</f>
        <v/>
      </c>
      <c r="P302" s="33">
        <f>IF(T301&lt;=0,0,ROUND(T301*(1+'Your debts'!$D$8/1200),2))</f>
        <v/>
      </c>
      <c r="Q302" s="33">
        <f>IF(P302&lt;=0,0,MIN('Your debts'!$E$8,P302))</f>
        <v/>
      </c>
      <c r="R302" s="33">
        <f>P302-Q302</f>
        <v/>
      </c>
      <c r="S302" s="33">
        <f>IF('Your debts'!$F$8="",0,MIN(R302,MAX(0,MAX(0,'Your debts'!$C$19-(G302+L302+Q302+V302+AA302+AF302+AK302+AP302+AU302+AZ302))-(IF(AND('Your debts'!$F$6&lt;&gt;"",'Your debts'!$F$8&lt;&gt;"",'Your debts'!$F$6&lt;'Your debts'!$F$8),H302,0)+IF(AND('Your debts'!$F$7&lt;&gt;"",'Your debts'!$F$8&lt;&gt;"",'Your debts'!$F$7&lt;'Your debts'!$F$8),M302,0)+IF(AND('Your debts'!$F$9&lt;&gt;"",'Your debts'!$F$8&lt;&gt;"",'Your debts'!$F$9&lt;'Your debts'!$F$8),W302,0)+IF(AND('Your debts'!$F$10&lt;&gt;"",'Your debts'!$F$8&lt;&gt;"",'Your debts'!$F$10&lt;'Your debts'!$F$8),AB302,0)+IF(AND('Your debts'!$F$11&lt;&gt;"",'Your debts'!$F$8&lt;&gt;"",'Your debts'!$F$11&lt;'Your debts'!$F$8),AG302,0)+IF(AND('Your debts'!$F$12&lt;&gt;"",'Your debts'!$F$8&lt;&gt;"",'Your debts'!$F$12&lt;'Your debts'!$F$8),AL302,0)+IF(AND('Your debts'!$F$13&lt;&gt;"",'Your debts'!$F$8&lt;&gt;"",'Your debts'!$F$13&lt;'Your debts'!$F$8),AQ302,0)+IF(AND('Your debts'!$F$14&lt;&gt;"",'Your debts'!$F$8&lt;&gt;"",'Your debts'!$F$14&lt;'Your debts'!$F$8),AV302,0)+IF(AND('Your debts'!$F$15&lt;&gt;"",'Your debts'!$F$8&lt;&gt;"",'Your debts'!$F$15&lt;'Your debts'!$F$8),BA302,0)))))</f>
        <v/>
      </c>
      <c r="T302" s="33">
        <f>R302-S302</f>
        <v/>
      </c>
      <c r="U302" s="33">
        <f>IF(Y301&lt;=0,0,ROUND(Y301*(1+'Your debts'!$D$9/1200),2))</f>
        <v/>
      </c>
      <c r="V302" s="33">
        <f>IF(U302&lt;=0,0,MIN('Your debts'!$E$9,U302))</f>
        <v/>
      </c>
      <c r="W302" s="33">
        <f>U302-V302</f>
        <v/>
      </c>
      <c r="X302" s="33">
        <f>IF('Your debts'!$F$9="",0,MIN(W302,MAX(0,MAX(0,'Your debts'!$C$19-(G302+L302+Q302+V302+AA302+AF302+AK302+AP302+AU302+AZ302))-(IF(AND('Your debts'!$F$6&lt;&gt;"",'Your debts'!$F$9&lt;&gt;"",'Your debts'!$F$6&lt;'Your debts'!$F$9),H302,0)+IF(AND('Your debts'!$F$7&lt;&gt;"",'Your debts'!$F$9&lt;&gt;"",'Your debts'!$F$7&lt;'Your debts'!$F$9),M302,0)+IF(AND('Your debts'!$F$8&lt;&gt;"",'Your debts'!$F$9&lt;&gt;"",'Your debts'!$F$8&lt;'Your debts'!$F$9),R302,0)+IF(AND('Your debts'!$F$10&lt;&gt;"",'Your debts'!$F$9&lt;&gt;"",'Your debts'!$F$10&lt;'Your debts'!$F$9),AB302,0)+IF(AND('Your debts'!$F$11&lt;&gt;"",'Your debts'!$F$9&lt;&gt;"",'Your debts'!$F$11&lt;'Your debts'!$F$9),AG302,0)+IF(AND('Your debts'!$F$12&lt;&gt;"",'Your debts'!$F$9&lt;&gt;"",'Your debts'!$F$12&lt;'Your debts'!$F$9),AL302,0)+IF(AND('Your debts'!$F$13&lt;&gt;"",'Your debts'!$F$9&lt;&gt;"",'Your debts'!$F$13&lt;'Your debts'!$F$9),AQ302,0)+IF(AND('Your debts'!$F$14&lt;&gt;"",'Your debts'!$F$9&lt;&gt;"",'Your debts'!$F$14&lt;'Your debts'!$F$9),AV302,0)+IF(AND('Your debts'!$F$15&lt;&gt;"",'Your debts'!$F$9&lt;&gt;"",'Your debts'!$F$15&lt;'Your debts'!$F$9),BA302,0)))))</f>
        <v/>
      </c>
      <c r="Y302" s="33">
        <f>W302-X302</f>
        <v/>
      </c>
      <c r="Z302" s="33">
        <f>IF(AD301&lt;=0,0,ROUND(AD301*(1+'Your debts'!$D$10/1200),2))</f>
        <v/>
      </c>
      <c r="AA302" s="33">
        <f>IF(Z302&lt;=0,0,MIN('Your debts'!$E$10,Z302))</f>
        <v/>
      </c>
      <c r="AB302" s="33">
        <f>Z302-AA302</f>
        <v/>
      </c>
      <c r="AC302" s="33">
        <f>IF('Your debts'!$F$10="",0,MIN(AB302,MAX(0,MAX(0,'Your debts'!$C$19-(G302+L302+Q302+V302+AA302+AF302+AK302+AP302+AU302+AZ302))-(IF(AND('Your debts'!$F$6&lt;&gt;"",'Your debts'!$F$10&lt;&gt;"",'Your debts'!$F$6&lt;'Your debts'!$F$10),H302,0)+IF(AND('Your debts'!$F$7&lt;&gt;"",'Your debts'!$F$10&lt;&gt;"",'Your debts'!$F$7&lt;'Your debts'!$F$10),M302,0)+IF(AND('Your debts'!$F$8&lt;&gt;"",'Your debts'!$F$10&lt;&gt;"",'Your debts'!$F$8&lt;'Your debts'!$F$10),R302,0)+IF(AND('Your debts'!$F$9&lt;&gt;"",'Your debts'!$F$10&lt;&gt;"",'Your debts'!$F$9&lt;'Your debts'!$F$10),W302,0)+IF(AND('Your debts'!$F$11&lt;&gt;"",'Your debts'!$F$10&lt;&gt;"",'Your debts'!$F$11&lt;'Your debts'!$F$10),AG302,0)+IF(AND('Your debts'!$F$12&lt;&gt;"",'Your debts'!$F$10&lt;&gt;"",'Your debts'!$F$12&lt;'Your debts'!$F$10),AL302,0)+IF(AND('Your debts'!$F$13&lt;&gt;"",'Your debts'!$F$10&lt;&gt;"",'Your debts'!$F$13&lt;'Your debts'!$F$10),AQ302,0)+IF(AND('Your debts'!$F$14&lt;&gt;"",'Your debts'!$F$10&lt;&gt;"",'Your debts'!$F$14&lt;'Your debts'!$F$10),AV302,0)+IF(AND('Your debts'!$F$15&lt;&gt;"",'Your debts'!$F$10&lt;&gt;"",'Your debts'!$F$15&lt;'Your debts'!$F$10),BA302,0)))))</f>
        <v/>
      </c>
      <c r="AD302" s="33">
        <f>AB302-AC302</f>
        <v/>
      </c>
      <c r="AE302" s="33">
        <f>IF(AI301&lt;=0,0,ROUND(AI301*(1+'Your debts'!$D$11/1200),2))</f>
        <v/>
      </c>
      <c r="AF302" s="33">
        <f>IF(AE302&lt;=0,0,MIN('Your debts'!$E$11,AE302))</f>
        <v/>
      </c>
      <c r="AG302" s="33">
        <f>AE302-AF302</f>
        <v/>
      </c>
      <c r="AH302" s="33">
        <f>IF('Your debts'!$F$11="",0,MIN(AG302,MAX(0,MAX(0,'Your debts'!$C$19-(G302+L302+Q302+V302+AA302+AF302+AK302+AP302+AU302+AZ302))-(IF(AND('Your debts'!$F$6&lt;&gt;"",'Your debts'!$F$11&lt;&gt;"",'Your debts'!$F$6&lt;'Your debts'!$F$11),H302,0)+IF(AND('Your debts'!$F$7&lt;&gt;"",'Your debts'!$F$11&lt;&gt;"",'Your debts'!$F$7&lt;'Your debts'!$F$11),M302,0)+IF(AND('Your debts'!$F$8&lt;&gt;"",'Your debts'!$F$11&lt;&gt;"",'Your debts'!$F$8&lt;'Your debts'!$F$11),R302,0)+IF(AND('Your debts'!$F$9&lt;&gt;"",'Your debts'!$F$11&lt;&gt;"",'Your debts'!$F$9&lt;'Your debts'!$F$11),W302,0)+IF(AND('Your debts'!$F$10&lt;&gt;"",'Your debts'!$F$11&lt;&gt;"",'Your debts'!$F$10&lt;'Your debts'!$F$11),AB302,0)+IF(AND('Your debts'!$F$12&lt;&gt;"",'Your debts'!$F$11&lt;&gt;"",'Your debts'!$F$12&lt;'Your debts'!$F$11),AL302,0)+IF(AND('Your debts'!$F$13&lt;&gt;"",'Your debts'!$F$11&lt;&gt;"",'Your debts'!$F$13&lt;'Your debts'!$F$11),AQ302,0)+IF(AND('Your debts'!$F$14&lt;&gt;"",'Your debts'!$F$11&lt;&gt;"",'Your debts'!$F$14&lt;'Your debts'!$F$11),AV302,0)+IF(AND('Your debts'!$F$15&lt;&gt;"",'Your debts'!$F$11&lt;&gt;"",'Your debts'!$F$15&lt;'Your debts'!$F$11),BA302,0)))))</f>
        <v/>
      </c>
      <c r="AI302" s="33">
        <f>AG302-AH302</f>
        <v/>
      </c>
      <c r="AJ302" s="33">
        <f>IF(AN301&lt;=0,0,ROUND(AN301*(1+'Your debts'!$D$12/1200),2))</f>
        <v/>
      </c>
      <c r="AK302" s="33">
        <f>IF(AJ302&lt;=0,0,MIN('Your debts'!$E$12,AJ302))</f>
        <v/>
      </c>
      <c r="AL302" s="33">
        <f>AJ302-AK302</f>
        <v/>
      </c>
      <c r="AM302" s="33">
        <f>IF('Your debts'!$F$12="",0,MIN(AL302,MAX(0,MAX(0,'Your debts'!$C$19-(G302+L302+Q302+V302+AA302+AF302+AK302+AP302+AU302+AZ302))-(IF(AND('Your debts'!$F$6&lt;&gt;"",'Your debts'!$F$12&lt;&gt;"",'Your debts'!$F$6&lt;'Your debts'!$F$12),H302,0)+IF(AND('Your debts'!$F$7&lt;&gt;"",'Your debts'!$F$12&lt;&gt;"",'Your debts'!$F$7&lt;'Your debts'!$F$12),M302,0)+IF(AND('Your debts'!$F$8&lt;&gt;"",'Your debts'!$F$12&lt;&gt;"",'Your debts'!$F$8&lt;'Your debts'!$F$12),R302,0)+IF(AND('Your debts'!$F$9&lt;&gt;"",'Your debts'!$F$12&lt;&gt;"",'Your debts'!$F$9&lt;'Your debts'!$F$12),W302,0)+IF(AND('Your debts'!$F$10&lt;&gt;"",'Your debts'!$F$12&lt;&gt;"",'Your debts'!$F$10&lt;'Your debts'!$F$12),AB302,0)+IF(AND('Your debts'!$F$11&lt;&gt;"",'Your debts'!$F$12&lt;&gt;"",'Your debts'!$F$11&lt;'Your debts'!$F$12),AG302,0)+IF(AND('Your debts'!$F$13&lt;&gt;"",'Your debts'!$F$12&lt;&gt;"",'Your debts'!$F$13&lt;'Your debts'!$F$12),AQ302,0)+IF(AND('Your debts'!$F$14&lt;&gt;"",'Your debts'!$F$12&lt;&gt;"",'Your debts'!$F$14&lt;'Your debts'!$F$12),AV302,0)+IF(AND('Your debts'!$F$15&lt;&gt;"",'Your debts'!$F$12&lt;&gt;"",'Your debts'!$F$15&lt;'Your debts'!$F$12),BA302,0)))))</f>
        <v/>
      </c>
      <c r="AN302" s="33">
        <f>AL302-AM302</f>
        <v/>
      </c>
      <c r="AO302" s="33">
        <f>IF(AS301&lt;=0,0,ROUND(AS301*(1+'Your debts'!$D$13/1200),2))</f>
        <v/>
      </c>
      <c r="AP302" s="33">
        <f>IF(AO302&lt;=0,0,MIN('Your debts'!$E$13,AO302))</f>
        <v/>
      </c>
      <c r="AQ302" s="33">
        <f>AO302-AP302</f>
        <v/>
      </c>
      <c r="AR302" s="33">
        <f>IF('Your debts'!$F$13="",0,MIN(AQ302,MAX(0,MAX(0,'Your debts'!$C$19-(G302+L302+Q302+V302+AA302+AF302+AK302+AP302+AU302+AZ302))-(IF(AND('Your debts'!$F$6&lt;&gt;"",'Your debts'!$F$13&lt;&gt;"",'Your debts'!$F$6&lt;'Your debts'!$F$13),H302,0)+IF(AND('Your debts'!$F$7&lt;&gt;"",'Your debts'!$F$13&lt;&gt;"",'Your debts'!$F$7&lt;'Your debts'!$F$13),M302,0)+IF(AND('Your debts'!$F$8&lt;&gt;"",'Your debts'!$F$13&lt;&gt;"",'Your debts'!$F$8&lt;'Your debts'!$F$13),R302,0)+IF(AND('Your debts'!$F$9&lt;&gt;"",'Your debts'!$F$13&lt;&gt;"",'Your debts'!$F$9&lt;'Your debts'!$F$13),W302,0)+IF(AND('Your debts'!$F$10&lt;&gt;"",'Your debts'!$F$13&lt;&gt;"",'Your debts'!$F$10&lt;'Your debts'!$F$13),AB302,0)+IF(AND('Your debts'!$F$11&lt;&gt;"",'Your debts'!$F$13&lt;&gt;"",'Your debts'!$F$11&lt;'Your debts'!$F$13),AG302,0)+IF(AND('Your debts'!$F$12&lt;&gt;"",'Your debts'!$F$13&lt;&gt;"",'Your debts'!$F$12&lt;'Your debts'!$F$13),AL302,0)+IF(AND('Your debts'!$F$14&lt;&gt;"",'Your debts'!$F$13&lt;&gt;"",'Your debts'!$F$14&lt;'Your debts'!$F$13),AV302,0)+IF(AND('Your debts'!$F$15&lt;&gt;"",'Your debts'!$F$13&lt;&gt;"",'Your debts'!$F$15&lt;'Your debts'!$F$13),BA302,0)))))</f>
        <v/>
      </c>
      <c r="AS302" s="33">
        <f>AQ302-AR302</f>
        <v/>
      </c>
      <c r="AT302" s="33">
        <f>IF(AX301&lt;=0,0,ROUND(AX301*(1+'Your debts'!$D$14/1200),2))</f>
        <v/>
      </c>
      <c r="AU302" s="33">
        <f>IF(AT302&lt;=0,0,MIN('Your debts'!$E$14,AT302))</f>
        <v/>
      </c>
      <c r="AV302" s="33">
        <f>AT302-AU302</f>
        <v/>
      </c>
      <c r="AW302" s="33">
        <f>IF('Your debts'!$F$14="",0,MIN(AV302,MAX(0,MAX(0,'Your debts'!$C$19-(G302+L302+Q302+V302+AA302+AF302+AK302+AP302+AU302+AZ302))-(IF(AND('Your debts'!$F$6&lt;&gt;"",'Your debts'!$F$14&lt;&gt;"",'Your debts'!$F$6&lt;'Your debts'!$F$14),H302,0)+IF(AND('Your debts'!$F$7&lt;&gt;"",'Your debts'!$F$14&lt;&gt;"",'Your debts'!$F$7&lt;'Your debts'!$F$14),M302,0)+IF(AND('Your debts'!$F$8&lt;&gt;"",'Your debts'!$F$14&lt;&gt;"",'Your debts'!$F$8&lt;'Your debts'!$F$14),R302,0)+IF(AND('Your debts'!$F$9&lt;&gt;"",'Your debts'!$F$14&lt;&gt;"",'Your debts'!$F$9&lt;'Your debts'!$F$14),W302,0)+IF(AND('Your debts'!$F$10&lt;&gt;"",'Your debts'!$F$14&lt;&gt;"",'Your debts'!$F$10&lt;'Your debts'!$F$14),AB302,0)+IF(AND('Your debts'!$F$11&lt;&gt;"",'Your debts'!$F$14&lt;&gt;"",'Your debts'!$F$11&lt;'Your debts'!$F$14),AG302,0)+IF(AND('Your debts'!$F$12&lt;&gt;"",'Your debts'!$F$14&lt;&gt;"",'Your debts'!$F$12&lt;'Your debts'!$F$14),AL302,0)+IF(AND('Your debts'!$F$13&lt;&gt;"",'Your debts'!$F$14&lt;&gt;"",'Your debts'!$F$13&lt;'Your debts'!$F$14),AQ302,0)+IF(AND('Your debts'!$F$15&lt;&gt;"",'Your debts'!$F$14&lt;&gt;"",'Your debts'!$F$15&lt;'Your debts'!$F$14),BA302,0)))))</f>
        <v/>
      </c>
      <c r="AX302" s="33">
        <f>AV302-AW302</f>
        <v/>
      </c>
      <c r="AY302" s="33">
        <f>IF(BC301&lt;=0,0,ROUND(BC301*(1+'Your debts'!$D$15/1200),2))</f>
        <v/>
      </c>
      <c r="AZ302" s="33">
        <f>IF(AY302&lt;=0,0,MIN('Your debts'!$E$15,AY302))</f>
        <v/>
      </c>
      <c r="BA302" s="33">
        <f>AY302-AZ302</f>
        <v/>
      </c>
      <c r="BB302" s="33">
        <f>IF('Your debts'!$F$15="",0,MIN(BA302,MAX(0,MAX(0,'Your debts'!$C$19-(G302+L302+Q302+V302+AA302+AF302+AK302+AP302+AU302+AZ302))-(IF(AND('Your debts'!$F$6&lt;&gt;"",'Your debts'!$F$15&lt;&gt;"",'Your debts'!$F$6&lt;'Your debts'!$F$15),H302,0)+IF(AND('Your debts'!$F$7&lt;&gt;"",'Your debts'!$F$15&lt;&gt;"",'Your debts'!$F$7&lt;'Your debts'!$F$15),M302,0)+IF(AND('Your debts'!$F$8&lt;&gt;"",'Your debts'!$F$15&lt;&gt;"",'Your debts'!$F$8&lt;'Your debts'!$F$15),R302,0)+IF(AND('Your debts'!$F$9&lt;&gt;"",'Your debts'!$F$15&lt;&gt;"",'Your debts'!$F$9&lt;'Your debts'!$F$15),W302,0)+IF(AND('Your debts'!$F$10&lt;&gt;"",'Your debts'!$F$15&lt;&gt;"",'Your debts'!$F$10&lt;'Your debts'!$F$15),AB302,0)+IF(AND('Your debts'!$F$11&lt;&gt;"",'Your debts'!$F$15&lt;&gt;"",'Your debts'!$F$11&lt;'Your debts'!$F$15),AG302,0)+IF(AND('Your debts'!$F$12&lt;&gt;"",'Your debts'!$F$15&lt;&gt;"",'Your debts'!$F$12&lt;'Your debts'!$F$15),AL302,0)+IF(AND('Your debts'!$F$13&lt;&gt;"",'Your debts'!$F$15&lt;&gt;"",'Your debts'!$F$13&lt;'Your debts'!$F$15),AQ302,0)+IF(AND('Your debts'!$F$14&lt;&gt;"",'Your debts'!$F$15&lt;&gt;"",'Your debts'!$F$14&lt;'Your debts'!$F$15),AV302,0)))))</f>
        <v/>
      </c>
      <c r="BC302" s="33">
        <f>BA302-BB302</f>
        <v/>
      </c>
    </row>
    <row r="303">
      <c r="A303" s="30" t="n">
        <v>288</v>
      </c>
      <c r="B303" s="31">
        <f>EDATE($B$15,288)</f>
        <v/>
      </c>
      <c r="C303" s="32">
        <f>IF(J302&lt;=0,0,F303-J302)+IF(O302&lt;=0,0,K303-O302)+IF(T302&lt;=0,0,P303-T302)+IF(Y302&lt;=0,0,U303-Y302)+IF(AD302&lt;=0,0,Z303-AD302)+IF(AI302&lt;=0,0,AE303-AI302)+IF(AN302&lt;=0,0,AJ303-AN302)+IF(AS302&lt;=0,0,AO303-AS302)+IF(AX302&lt;=0,0,AT303-AX302)+IF(BC302&lt;=0,0,AY303-BC302)</f>
        <v/>
      </c>
      <c r="D303" s="32">
        <f>G303+I303+L303+N303+Q303+S303+V303+X303+AA303+AC303+AF303+AH303+AK303+AM303+AP303+AR303+AU303+AW303+AZ303+BB303</f>
        <v/>
      </c>
      <c r="E303" s="32">
        <f>J303+O303+T303+Y303+AD303+AI303+AN303+AS303+AX303+BC303</f>
        <v/>
      </c>
      <c r="F303" s="33">
        <f>IF(J302&lt;=0,0,ROUND(J302*(1+'Your debts'!$D$6/1200),2))</f>
        <v/>
      </c>
      <c r="G303" s="33">
        <f>IF(F303&lt;=0,0,MIN('Your debts'!$E$6,F303))</f>
        <v/>
      </c>
      <c r="H303" s="33">
        <f>F303-G303</f>
        <v/>
      </c>
      <c r="I303" s="33">
        <f>IF('Your debts'!$F$6="",0,MIN(H303,MAX(0,MAX(0,'Your debts'!$C$19-(G303+L303+Q303+V303+AA303+AF303+AK303+AP303+AU303+AZ303))-(IF(AND('Your debts'!$F$7&lt;&gt;"",'Your debts'!$F$6&lt;&gt;"",'Your debts'!$F$7&lt;'Your debts'!$F$6),M303,0)+IF(AND('Your debts'!$F$8&lt;&gt;"",'Your debts'!$F$6&lt;&gt;"",'Your debts'!$F$8&lt;'Your debts'!$F$6),R303,0)+IF(AND('Your debts'!$F$9&lt;&gt;"",'Your debts'!$F$6&lt;&gt;"",'Your debts'!$F$9&lt;'Your debts'!$F$6),W303,0)+IF(AND('Your debts'!$F$10&lt;&gt;"",'Your debts'!$F$6&lt;&gt;"",'Your debts'!$F$10&lt;'Your debts'!$F$6),AB303,0)+IF(AND('Your debts'!$F$11&lt;&gt;"",'Your debts'!$F$6&lt;&gt;"",'Your debts'!$F$11&lt;'Your debts'!$F$6),AG303,0)+IF(AND('Your debts'!$F$12&lt;&gt;"",'Your debts'!$F$6&lt;&gt;"",'Your debts'!$F$12&lt;'Your debts'!$F$6),AL303,0)+IF(AND('Your debts'!$F$13&lt;&gt;"",'Your debts'!$F$6&lt;&gt;"",'Your debts'!$F$13&lt;'Your debts'!$F$6),AQ303,0)+IF(AND('Your debts'!$F$14&lt;&gt;"",'Your debts'!$F$6&lt;&gt;"",'Your debts'!$F$14&lt;'Your debts'!$F$6),AV303,0)+IF(AND('Your debts'!$F$15&lt;&gt;"",'Your debts'!$F$6&lt;&gt;"",'Your debts'!$F$15&lt;'Your debts'!$F$6),BA303,0)))))</f>
        <v/>
      </c>
      <c r="J303" s="33">
        <f>H303-I303</f>
        <v/>
      </c>
      <c r="K303" s="33">
        <f>IF(O302&lt;=0,0,ROUND(O302*(1+'Your debts'!$D$7/1200),2))</f>
        <v/>
      </c>
      <c r="L303" s="33">
        <f>IF(K303&lt;=0,0,MIN('Your debts'!$E$7,K303))</f>
        <v/>
      </c>
      <c r="M303" s="33">
        <f>K303-L303</f>
        <v/>
      </c>
      <c r="N303" s="33">
        <f>IF('Your debts'!$F$7="",0,MIN(M303,MAX(0,MAX(0,'Your debts'!$C$19-(G303+L303+Q303+V303+AA303+AF303+AK303+AP303+AU303+AZ303))-(IF(AND('Your debts'!$F$6&lt;&gt;"",'Your debts'!$F$7&lt;&gt;"",'Your debts'!$F$6&lt;'Your debts'!$F$7),H303,0)+IF(AND('Your debts'!$F$8&lt;&gt;"",'Your debts'!$F$7&lt;&gt;"",'Your debts'!$F$8&lt;'Your debts'!$F$7),R303,0)+IF(AND('Your debts'!$F$9&lt;&gt;"",'Your debts'!$F$7&lt;&gt;"",'Your debts'!$F$9&lt;'Your debts'!$F$7),W303,0)+IF(AND('Your debts'!$F$10&lt;&gt;"",'Your debts'!$F$7&lt;&gt;"",'Your debts'!$F$10&lt;'Your debts'!$F$7),AB303,0)+IF(AND('Your debts'!$F$11&lt;&gt;"",'Your debts'!$F$7&lt;&gt;"",'Your debts'!$F$11&lt;'Your debts'!$F$7),AG303,0)+IF(AND('Your debts'!$F$12&lt;&gt;"",'Your debts'!$F$7&lt;&gt;"",'Your debts'!$F$12&lt;'Your debts'!$F$7),AL303,0)+IF(AND('Your debts'!$F$13&lt;&gt;"",'Your debts'!$F$7&lt;&gt;"",'Your debts'!$F$13&lt;'Your debts'!$F$7),AQ303,0)+IF(AND('Your debts'!$F$14&lt;&gt;"",'Your debts'!$F$7&lt;&gt;"",'Your debts'!$F$14&lt;'Your debts'!$F$7),AV303,0)+IF(AND('Your debts'!$F$15&lt;&gt;"",'Your debts'!$F$7&lt;&gt;"",'Your debts'!$F$15&lt;'Your debts'!$F$7),BA303,0)))))</f>
        <v/>
      </c>
      <c r="O303" s="33">
        <f>M303-N303</f>
        <v/>
      </c>
      <c r="P303" s="33">
        <f>IF(T302&lt;=0,0,ROUND(T302*(1+'Your debts'!$D$8/1200),2))</f>
        <v/>
      </c>
      <c r="Q303" s="33">
        <f>IF(P303&lt;=0,0,MIN('Your debts'!$E$8,P303))</f>
        <v/>
      </c>
      <c r="R303" s="33">
        <f>P303-Q303</f>
        <v/>
      </c>
      <c r="S303" s="33">
        <f>IF('Your debts'!$F$8="",0,MIN(R303,MAX(0,MAX(0,'Your debts'!$C$19-(G303+L303+Q303+V303+AA303+AF303+AK303+AP303+AU303+AZ303))-(IF(AND('Your debts'!$F$6&lt;&gt;"",'Your debts'!$F$8&lt;&gt;"",'Your debts'!$F$6&lt;'Your debts'!$F$8),H303,0)+IF(AND('Your debts'!$F$7&lt;&gt;"",'Your debts'!$F$8&lt;&gt;"",'Your debts'!$F$7&lt;'Your debts'!$F$8),M303,0)+IF(AND('Your debts'!$F$9&lt;&gt;"",'Your debts'!$F$8&lt;&gt;"",'Your debts'!$F$9&lt;'Your debts'!$F$8),W303,0)+IF(AND('Your debts'!$F$10&lt;&gt;"",'Your debts'!$F$8&lt;&gt;"",'Your debts'!$F$10&lt;'Your debts'!$F$8),AB303,0)+IF(AND('Your debts'!$F$11&lt;&gt;"",'Your debts'!$F$8&lt;&gt;"",'Your debts'!$F$11&lt;'Your debts'!$F$8),AG303,0)+IF(AND('Your debts'!$F$12&lt;&gt;"",'Your debts'!$F$8&lt;&gt;"",'Your debts'!$F$12&lt;'Your debts'!$F$8),AL303,0)+IF(AND('Your debts'!$F$13&lt;&gt;"",'Your debts'!$F$8&lt;&gt;"",'Your debts'!$F$13&lt;'Your debts'!$F$8),AQ303,0)+IF(AND('Your debts'!$F$14&lt;&gt;"",'Your debts'!$F$8&lt;&gt;"",'Your debts'!$F$14&lt;'Your debts'!$F$8),AV303,0)+IF(AND('Your debts'!$F$15&lt;&gt;"",'Your debts'!$F$8&lt;&gt;"",'Your debts'!$F$15&lt;'Your debts'!$F$8),BA303,0)))))</f>
        <v/>
      </c>
      <c r="T303" s="33">
        <f>R303-S303</f>
        <v/>
      </c>
      <c r="U303" s="33">
        <f>IF(Y302&lt;=0,0,ROUND(Y302*(1+'Your debts'!$D$9/1200),2))</f>
        <v/>
      </c>
      <c r="V303" s="33">
        <f>IF(U303&lt;=0,0,MIN('Your debts'!$E$9,U303))</f>
        <v/>
      </c>
      <c r="W303" s="33">
        <f>U303-V303</f>
        <v/>
      </c>
      <c r="X303" s="33">
        <f>IF('Your debts'!$F$9="",0,MIN(W303,MAX(0,MAX(0,'Your debts'!$C$19-(G303+L303+Q303+V303+AA303+AF303+AK303+AP303+AU303+AZ303))-(IF(AND('Your debts'!$F$6&lt;&gt;"",'Your debts'!$F$9&lt;&gt;"",'Your debts'!$F$6&lt;'Your debts'!$F$9),H303,0)+IF(AND('Your debts'!$F$7&lt;&gt;"",'Your debts'!$F$9&lt;&gt;"",'Your debts'!$F$7&lt;'Your debts'!$F$9),M303,0)+IF(AND('Your debts'!$F$8&lt;&gt;"",'Your debts'!$F$9&lt;&gt;"",'Your debts'!$F$8&lt;'Your debts'!$F$9),R303,0)+IF(AND('Your debts'!$F$10&lt;&gt;"",'Your debts'!$F$9&lt;&gt;"",'Your debts'!$F$10&lt;'Your debts'!$F$9),AB303,0)+IF(AND('Your debts'!$F$11&lt;&gt;"",'Your debts'!$F$9&lt;&gt;"",'Your debts'!$F$11&lt;'Your debts'!$F$9),AG303,0)+IF(AND('Your debts'!$F$12&lt;&gt;"",'Your debts'!$F$9&lt;&gt;"",'Your debts'!$F$12&lt;'Your debts'!$F$9),AL303,0)+IF(AND('Your debts'!$F$13&lt;&gt;"",'Your debts'!$F$9&lt;&gt;"",'Your debts'!$F$13&lt;'Your debts'!$F$9),AQ303,0)+IF(AND('Your debts'!$F$14&lt;&gt;"",'Your debts'!$F$9&lt;&gt;"",'Your debts'!$F$14&lt;'Your debts'!$F$9),AV303,0)+IF(AND('Your debts'!$F$15&lt;&gt;"",'Your debts'!$F$9&lt;&gt;"",'Your debts'!$F$15&lt;'Your debts'!$F$9),BA303,0)))))</f>
        <v/>
      </c>
      <c r="Y303" s="33">
        <f>W303-X303</f>
        <v/>
      </c>
      <c r="Z303" s="33">
        <f>IF(AD302&lt;=0,0,ROUND(AD302*(1+'Your debts'!$D$10/1200),2))</f>
        <v/>
      </c>
      <c r="AA303" s="33">
        <f>IF(Z303&lt;=0,0,MIN('Your debts'!$E$10,Z303))</f>
        <v/>
      </c>
      <c r="AB303" s="33">
        <f>Z303-AA303</f>
        <v/>
      </c>
      <c r="AC303" s="33">
        <f>IF('Your debts'!$F$10="",0,MIN(AB303,MAX(0,MAX(0,'Your debts'!$C$19-(G303+L303+Q303+V303+AA303+AF303+AK303+AP303+AU303+AZ303))-(IF(AND('Your debts'!$F$6&lt;&gt;"",'Your debts'!$F$10&lt;&gt;"",'Your debts'!$F$6&lt;'Your debts'!$F$10),H303,0)+IF(AND('Your debts'!$F$7&lt;&gt;"",'Your debts'!$F$10&lt;&gt;"",'Your debts'!$F$7&lt;'Your debts'!$F$10),M303,0)+IF(AND('Your debts'!$F$8&lt;&gt;"",'Your debts'!$F$10&lt;&gt;"",'Your debts'!$F$8&lt;'Your debts'!$F$10),R303,0)+IF(AND('Your debts'!$F$9&lt;&gt;"",'Your debts'!$F$10&lt;&gt;"",'Your debts'!$F$9&lt;'Your debts'!$F$10),W303,0)+IF(AND('Your debts'!$F$11&lt;&gt;"",'Your debts'!$F$10&lt;&gt;"",'Your debts'!$F$11&lt;'Your debts'!$F$10),AG303,0)+IF(AND('Your debts'!$F$12&lt;&gt;"",'Your debts'!$F$10&lt;&gt;"",'Your debts'!$F$12&lt;'Your debts'!$F$10),AL303,0)+IF(AND('Your debts'!$F$13&lt;&gt;"",'Your debts'!$F$10&lt;&gt;"",'Your debts'!$F$13&lt;'Your debts'!$F$10),AQ303,0)+IF(AND('Your debts'!$F$14&lt;&gt;"",'Your debts'!$F$10&lt;&gt;"",'Your debts'!$F$14&lt;'Your debts'!$F$10),AV303,0)+IF(AND('Your debts'!$F$15&lt;&gt;"",'Your debts'!$F$10&lt;&gt;"",'Your debts'!$F$15&lt;'Your debts'!$F$10),BA303,0)))))</f>
        <v/>
      </c>
      <c r="AD303" s="33">
        <f>AB303-AC303</f>
        <v/>
      </c>
      <c r="AE303" s="33">
        <f>IF(AI302&lt;=0,0,ROUND(AI302*(1+'Your debts'!$D$11/1200),2))</f>
        <v/>
      </c>
      <c r="AF303" s="33">
        <f>IF(AE303&lt;=0,0,MIN('Your debts'!$E$11,AE303))</f>
        <v/>
      </c>
      <c r="AG303" s="33">
        <f>AE303-AF303</f>
        <v/>
      </c>
      <c r="AH303" s="33">
        <f>IF('Your debts'!$F$11="",0,MIN(AG303,MAX(0,MAX(0,'Your debts'!$C$19-(G303+L303+Q303+V303+AA303+AF303+AK303+AP303+AU303+AZ303))-(IF(AND('Your debts'!$F$6&lt;&gt;"",'Your debts'!$F$11&lt;&gt;"",'Your debts'!$F$6&lt;'Your debts'!$F$11),H303,0)+IF(AND('Your debts'!$F$7&lt;&gt;"",'Your debts'!$F$11&lt;&gt;"",'Your debts'!$F$7&lt;'Your debts'!$F$11),M303,0)+IF(AND('Your debts'!$F$8&lt;&gt;"",'Your debts'!$F$11&lt;&gt;"",'Your debts'!$F$8&lt;'Your debts'!$F$11),R303,0)+IF(AND('Your debts'!$F$9&lt;&gt;"",'Your debts'!$F$11&lt;&gt;"",'Your debts'!$F$9&lt;'Your debts'!$F$11),W303,0)+IF(AND('Your debts'!$F$10&lt;&gt;"",'Your debts'!$F$11&lt;&gt;"",'Your debts'!$F$10&lt;'Your debts'!$F$11),AB303,0)+IF(AND('Your debts'!$F$12&lt;&gt;"",'Your debts'!$F$11&lt;&gt;"",'Your debts'!$F$12&lt;'Your debts'!$F$11),AL303,0)+IF(AND('Your debts'!$F$13&lt;&gt;"",'Your debts'!$F$11&lt;&gt;"",'Your debts'!$F$13&lt;'Your debts'!$F$11),AQ303,0)+IF(AND('Your debts'!$F$14&lt;&gt;"",'Your debts'!$F$11&lt;&gt;"",'Your debts'!$F$14&lt;'Your debts'!$F$11),AV303,0)+IF(AND('Your debts'!$F$15&lt;&gt;"",'Your debts'!$F$11&lt;&gt;"",'Your debts'!$F$15&lt;'Your debts'!$F$11),BA303,0)))))</f>
        <v/>
      </c>
      <c r="AI303" s="33">
        <f>AG303-AH303</f>
        <v/>
      </c>
      <c r="AJ303" s="33">
        <f>IF(AN302&lt;=0,0,ROUND(AN302*(1+'Your debts'!$D$12/1200),2))</f>
        <v/>
      </c>
      <c r="AK303" s="33">
        <f>IF(AJ303&lt;=0,0,MIN('Your debts'!$E$12,AJ303))</f>
        <v/>
      </c>
      <c r="AL303" s="33">
        <f>AJ303-AK303</f>
        <v/>
      </c>
      <c r="AM303" s="33">
        <f>IF('Your debts'!$F$12="",0,MIN(AL303,MAX(0,MAX(0,'Your debts'!$C$19-(G303+L303+Q303+V303+AA303+AF303+AK303+AP303+AU303+AZ303))-(IF(AND('Your debts'!$F$6&lt;&gt;"",'Your debts'!$F$12&lt;&gt;"",'Your debts'!$F$6&lt;'Your debts'!$F$12),H303,0)+IF(AND('Your debts'!$F$7&lt;&gt;"",'Your debts'!$F$12&lt;&gt;"",'Your debts'!$F$7&lt;'Your debts'!$F$12),M303,0)+IF(AND('Your debts'!$F$8&lt;&gt;"",'Your debts'!$F$12&lt;&gt;"",'Your debts'!$F$8&lt;'Your debts'!$F$12),R303,0)+IF(AND('Your debts'!$F$9&lt;&gt;"",'Your debts'!$F$12&lt;&gt;"",'Your debts'!$F$9&lt;'Your debts'!$F$12),W303,0)+IF(AND('Your debts'!$F$10&lt;&gt;"",'Your debts'!$F$12&lt;&gt;"",'Your debts'!$F$10&lt;'Your debts'!$F$12),AB303,0)+IF(AND('Your debts'!$F$11&lt;&gt;"",'Your debts'!$F$12&lt;&gt;"",'Your debts'!$F$11&lt;'Your debts'!$F$12),AG303,0)+IF(AND('Your debts'!$F$13&lt;&gt;"",'Your debts'!$F$12&lt;&gt;"",'Your debts'!$F$13&lt;'Your debts'!$F$12),AQ303,0)+IF(AND('Your debts'!$F$14&lt;&gt;"",'Your debts'!$F$12&lt;&gt;"",'Your debts'!$F$14&lt;'Your debts'!$F$12),AV303,0)+IF(AND('Your debts'!$F$15&lt;&gt;"",'Your debts'!$F$12&lt;&gt;"",'Your debts'!$F$15&lt;'Your debts'!$F$12),BA303,0)))))</f>
        <v/>
      </c>
      <c r="AN303" s="33">
        <f>AL303-AM303</f>
        <v/>
      </c>
      <c r="AO303" s="33">
        <f>IF(AS302&lt;=0,0,ROUND(AS302*(1+'Your debts'!$D$13/1200),2))</f>
        <v/>
      </c>
      <c r="AP303" s="33">
        <f>IF(AO303&lt;=0,0,MIN('Your debts'!$E$13,AO303))</f>
        <v/>
      </c>
      <c r="AQ303" s="33">
        <f>AO303-AP303</f>
        <v/>
      </c>
      <c r="AR303" s="33">
        <f>IF('Your debts'!$F$13="",0,MIN(AQ303,MAX(0,MAX(0,'Your debts'!$C$19-(G303+L303+Q303+V303+AA303+AF303+AK303+AP303+AU303+AZ303))-(IF(AND('Your debts'!$F$6&lt;&gt;"",'Your debts'!$F$13&lt;&gt;"",'Your debts'!$F$6&lt;'Your debts'!$F$13),H303,0)+IF(AND('Your debts'!$F$7&lt;&gt;"",'Your debts'!$F$13&lt;&gt;"",'Your debts'!$F$7&lt;'Your debts'!$F$13),M303,0)+IF(AND('Your debts'!$F$8&lt;&gt;"",'Your debts'!$F$13&lt;&gt;"",'Your debts'!$F$8&lt;'Your debts'!$F$13),R303,0)+IF(AND('Your debts'!$F$9&lt;&gt;"",'Your debts'!$F$13&lt;&gt;"",'Your debts'!$F$9&lt;'Your debts'!$F$13),W303,0)+IF(AND('Your debts'!$F$10&lt;&gt;"",'Your debts'!$F$13&lt;&gt;"",'Your debts'!$F$10&lt;'Your debts'!$F$13),AB303,0)+IF(AND('Your debts'!$F$11&lt;&gt;"",'Your debts'!$F$13&lt;&gt;"",'Your debts'!$F$11&lt;'Your debts'!$F$13),AG303,0)+IF(AND('Your debts'!$F$12&lt;&gt;"",'Your debts'!$F$13&lt;&gt;"",'Your debts'!$F$12&lt;'Your debts'!$F$13),AL303,0)+IF(AND('Your debts'!$F$14&lt;&gt;"",'Your debts'!$F$13&lt;&gt;"",'Your debts'!$F$14&lt;'Your debts'!$F$13),AV303,0)+IF(AND('Your debts'!$F$15&lt;&gt;"",'Your debts'!$F$13&lt;&gt;"",'Your debts'!$F$15&lt;'Your debts'!$F$13),BA303,0)))))</f>
        <v/>
      </c>
      <c r="AS303" s="33">
        <f>AQ303-AR303</f>
        <v/>
      </c>
      <c r="AT303" s="33">
        <f>IF(AX302&lt;=0,0,ROUND(AX302*(1+'Your debts'!$D$14/1200),2))</f>
        <v/>
      </c>
      <c r="AU303" s="33">
        <f>IF(AT303&lt;=0,0,MIN('Your debts'!$E$14,AT303))</f>
        <v/>
      </c>
      <c r="AV303" s="33">
        <f>AT303-AU303</f>
        <v/>
      </c>
      <c r="AW303" s="33">
        <f>IF('Your debts'!$F$14="",0,MIN(AV303,MAX(0,MAX(0,'Your debts'!$C$19-(G303+L303+Q303+V303+AA303+AF303+AK303+AP303+AU303+AZ303))-(IF(AND('Your debts'!$F$6&lt;&gt;"",'Your debts'!$F$14&lt;&gt;"",'Your debts'!$F$6&lt;'Your debts'!$F$14),H303,0)+IF(AND('Your debts'!$F$7&lt;&gt;"",'Your debts'!$F$14&lt;&gt;"",'Your debts'!$F$7&lt;'Your debts'!$F$14),M303,0)+IF(AND('Your debts'!$F$8&lt;&gt;"",'Your debts'!$F$14&lt;&gt;"",'Your debts'!$F$8&lt;'Your debts'!$F$14),R303,0)+IF(AND('Your debts'!$F$9&lt;&gt;"",'Your debts'!$F$14&lt;&gt;"",'Your debts'!$F$9&lt;'Your debts'!$F$14),W303,0)+IF(AND('Your debts'!$F$10&lt;&gt;"",'Your debts'!$F$14&lt;&gt;"",'Your debts'!$F$10&lt;'Your debts'!$F$14),AB303,0)+IF(AND('Your debts'!$F$11&lt;&gt;"",'Your debts'!$F$14&lt;&gt;"",'Your debts'!$F$11&lt;'Your debts'!$F$14),AG303,0)+IF(AND('Your debts'!$F$12&lt;&gt;"",'Your debts'!$F$14&lt;&gt;"",'Your debts'!$F$12&lt;'Your debts'!$F$14),AL303,0)+IF(AND('Your debts'!$F$13&lt;&gt;"",'Your debts'!$F$14&lt;&gt;"",'Your debts'!$F$13&lt;'Your debts'!$F$14),AQ303,0)+IF(AND('Your debts'!$F$15&lt;&gt;"",'Your debts'!$F$14&lt;&gt;"",'Your debts'!$F$15&lt;'Your debts'!$F$14),BA303,0)))))</f>
        <v/>
      </c>
      <c r="AX303" s="33">
        <f>AV303-AW303</f>
        <v/>
      </c>
      <c r="AY303" s="33">
        <f>IF(BC302&lt;=0,0,ROUND(BC302*(1+'Your debts'!$D$15/1200),2))</f>
        <v/>
      </c>
      <c r="AZ303" s="33">
        <f>IF(AY303&lt;=0,0,MIN('Your debts'!$E$15,AY303))</f>
        <v/>
      </c>
      <c r="BA303" s="33">
        <f>AY303-AZ303</f>
        <v/>
      </c>
      <c r="BB303" s="33">
        <f>IF('Your debts'!$F$15="",0,MIN(BA303,MAX(0,MAX(0,'Your debts'!$C$19-(G303+L303+Q303+V303+AA303+AF303+AK303+AP303+AU303+AZ303))-(IF(AND('Your debts'!$F$6&lt;&gt;"",'Your debts'!$F$15&lt;&gt;"",'Your debts'!$F$6&lt;'Your debts'!$F$15),H303,0)+IF(AND('Your debts'!$F$7&lt;&gt;"",'Your debts'!$F$15&lt;&gt;"",'Your debts'!$F$7&lt;'Your debts'!$F$15),M303,0)+IF(AND('Your debts'!$F$8&lt;&gt;"",'Your debts'!$F$15&lt;&gt;"",'Your debts'!$F$8&lt;'Your debts'!$F$15),R303,0)+IF(AND('Your debts'!$F$9&lt;&gt;"",'Your debts'!$F$15&lt;&gt;"",'Your debts'!$F$9&lt;'Your debts'!$F$15),W303,0)+IF(AND('Your debts'!$F$10&lt;&gt;"",'Your debts'!$F$15&lt;&gt;"",'Your debts'!$F$10&lt;'Your debts'!$F$15),AB303,0)+IF(AND('Your debts'!$F$11&lt;&gt;"",'Your debts'!$F$15&lt;&gt;"",'Your debts'!$F$11&lt;'Your debts'!$F$15),AG303,0)+IF(AND('Your debts'!$F$12&lt;&gt;"",'Your debts'!$F$15&lt;&gt;"",'Your debts'!$F$12&lt;'Your debts'!$F$15),AL303,0)+IF(AND('Your debts'!$F$13&lt;&gt;"",'Your debts'!$F$15&lt;&gt;"",'Your debts'!$F$13&lt;'Your debts'!$F$15),AQ303,0)+IF(AND('Your debts'!$F$14&lt;&gt;"",'Your debts'!$F$15&lt;&gt;"",'Your debts'!$F$14&lt;'Your debts'!$F$15),AV303,0)))))</f>
        <v/>
      </c>
      <c r="BC303" s="33">
        <f>BA303-BB303</f>
        <v/>
      </c>
    </row>
    <row r="304">
      <c r="A304" s="30" t="n">
        <v>289</v>
      </c>
      <c r="B304" s="31">
        <f>EDATE($B$15,289)</f>
        <v/>
      </c>
      <c r="C304" s="32">
        <f>IF(J303&lt;=0,0,F304-J303)+IF(O303&lt;=0,0,K304-O303)+IF(T303&lt;=0,0,P304-T303)+IF(Y303&lt;=0,0,U304-Y303)+IF(AD303&lt;=0,0,Z304-AD303)+IF(AI303&lt;=0,0,AE304-AI303)+IF(AN303&lt;=0,0,AJ304-AN303)+IF(AS303&lt;=0,0,AO304-AS303)+IF(AX303&lt;=0,0,AT304-AX303)+IF(BC303&lt;=0,0,AY304-BC303)</f>
        <v/>
      </c>
      <c r="D304" s="32">
        <f>G304+I304+L304+N304+Q304+S304+V304+X304+AA304+AC304+AF304+AH304+AK304+AM304+AP304+AR304+AU304+AW304+AZ304+BB304</f>
        <v/>
      </c>
      <c r="E304" s="32">
        <f>J304+O304+T304+Y304+AD304+AI304+AN304+AS304+AX304+BC304</f>
        <v/>
      </c>
      <c r="F304" s="33">
        <f>IF(J303&lt;=0,0,ROUND(J303*(1+'Your debts'!$D$6/1200),2))</f>
        <v/>
      </c>
      <c r="G304" s="33">
        <f>IF(F304&lt;=0,0,MIN('Your debts'!$E$6,F304))</f>
        <v/>
      </c>
      <c r="H304" s="33">
        <f>F304-G304</f>
        <v/>
      </c>
      <c r="I304" s="33">
        <f>IF('Your debts'!$F$6="",0,MIN(H304,MAX(0,MAX(0,'Your debts'!$C$19-(G304+L304+Q304+V304+AA304+AF304+AK304+AP304+AU304+AZ304))-(IF(AND('Your debts'!$F$7&lt;&gt;"",'Your debts'!$F$6&lt;&gt;"",'Your debts'!$F$7&lt;'Your debts'!$F$6),M304,0)+IF(AND('Your debts'!$F$8&lt;&gt;"",'Your debts'!$F$6&lt;&gt;"",'Your debts'!$F$8&lt;'Your debts'!$F$6),R304,0)+IF(AND('Your debts'!$F$9&lt;&gt;"",'Your debts'!$F$6&lt;&gt;"",'Your debts'!$F$9&lt;'Your debts'!$F$6),W304,0)+IF(AND('Your debts'!$F$10&lt;&gt;"",'Your debts'!$F$6&lt;&gt;"",'Your debts'!$F$10&lt;'Your debts'!$F$6),AB304,0)+IF(AND('Your debts'!$F$11&lt;&gt;"",'Your debts'!$F$6&lt;&gt;"",'Your debts'!$F$11&lt;'Your debts'!$F$6),AG304,0)+IF(AND('Your debts'!$F$12&lt;&gt;"",'Your debts'!$F$6&lt;&gt;"",'Your debts'!$F$12&lt;'Your debts'!$F$6),AL304,0)+IF(AND('Your debts'!$F$13&lt;&gt;"",'Your debts'!$F$6&lt;&gt;"",'Your debts'!$F$13&lt;'Your debts'!$F$6),AQ304,0)+IF(AND('Your debts'!$F$14&lt;&gt;"",'Your debts'!$F$6&lt;&gt;"",'Your debts'!$F$14&lt;'Your debts'!$F$6),AV304,0)+IF(AND('Your debts'!$F$15&lt;&gt;"",'Your debts'!$F$6&lt;&gt;"",'Your debts'!$F$15&lt;'Your debts'!$F$6),BA304,0)))))</f>
        <v/>
      </c>
      <c r="J304" s="33">
        <f>H304-I304</f>
        <v/>
      </c>
      <c r="K304" s="33">
        <f>IF(O303&lt;=0,0,ROUND(O303*(1+'Your debts'!$D$7/1200),2))</f>
        <v/>
      </c>
      <c r="L304" s="33">
        <f>IF(K304&lt;=0,0,MIN('Your debts'!$E$7,K304))</f>
        <v/>
      </c>
      <c r="M304" s="33">
        <f>K304-L304</f>
        <v/>
      </c>
      <c r="N304" s="33">
        <f>IF('Your debts'!$F$7="",0,MIN(M304,MAX(0,MAX(0,'Your debts'!$C$19-(G304+L304+Q304+V304+AA304+AF304+AK304+AP304+AU304+AZ304))-(IF(AND('Your debts'!$F$6&lt;&gt;"",'Your debts'!$F$7&lt;&gt;"",'Your debts'!$F$6&lt;'Your debts'!$F$7),H304,0)+IF(AND('Your debts'!$F$8&lt;&gt;"",'Your debts'!$F$7&lt;&gt;"",'Your debts'!$F$8&lt;'Your debts'!$F$7),R304,0)+IF(AND('Your debts'!$F$9&lt;&gt;"",'Your debts'!$F$7&lt;&gt;"",'Your debts'!$F$9&lt;'Your debts'!$F$7),W304,0)+IF(AND('Your debts'!$F$10&lt;&gt;"",'Your debts'!$F$7&lt;&gt;"",'Your debts'!$F$10&lt;'Your debts'!$F$7),AB304,0)+IF(AND('Your debts'!$F$11&lt;&gt;"",'Your debts'!$F$7&lt;&gt;"",'Your debts'!$F$11&lt;'Your debts'!$F$7),AG304,0)+IF(AND('Your debts'!$F$12&lt;&gt;"",'Your debts'!$F$7&lt;&gt;"",'Your debts'!$F$12&lt;'Your debts'!$F$7),AL304,0)+IF(AND('Your debts'!$F$13&lt;&gt;"",'Your debts'!$F$7&lt;&gt;"",'Your debts'!$F$13&lt;'Your debts'!$F$7),AQ304,0)+IF(AND('Your debts'!$F$14&lt;&gt;"",'Your debts'!$F$7&lt;&gt;"",'Your debts'!$F$14&lt;'Your debts'!$F$7),AV304,0)+IF(AND('Your debts'!$F$15&lt;&gt;"",'Your debts'!$F$7&lt;&gt;"",'Your debts'!$F$15&lt;'Your debts'!$F$7),BA304,0)))))</f>
        <v/>
      </c>
      <c r="O304" s="33">
        <f>M304-N304</f>
        <v/>
      </c>
      <c r="P304" s="33">
        <f>IF(T303&lt;=0,0,ROUND(T303*(1+'Your debts'!$D$8/1200),2))</f>
        <v/>
      </c>
      <c r="Q304" s="33">
        <f>IF(P304&lt;=0,0,MIN('Your debts'!$E$8,P304))</f>
        <v/>
      </c>
      <c r="R304" s="33">
        <f>P304-Q304</f>
        <v/>
      </c>
      <c r="S304" s="33">
        <f>IF('Your debts'!$F$8="",0,MIN(R304,MAX(0,MAX(0,'Your debts'!$C$19-(G304+L304+Q304+V304+AA304+AF304+AK304+AP304+AU304+AZ304))-(IF(AND('Your debts'!$F$6&lt;&gt;"",'Your debts'!$F$8&lt;&gt;"",'Your debts'!$F$6&lt;'Your debts'!$F$8),H304,0)+IF(AND('Your debts'!$F$7&lt;&gt;"",'Your debts'!$F$8&lt;&gt;"",'Your debts'!$F$7&lt;'Your debts'!$F$8),M304,0)+IF(AND('Your debts'!$F$9&lt;&gt;"",'Your debts'!$F$8&lt;&gt;"",'Your debts'!$F$9&lt;'Your debts'!$F$8),W304,0)+IF(AND('Your debts'!$F$10&lt;&gt;"",'Your debts'!$F$8&lt;&gt;"",'Your debts'!$F$10&lt;'Your debts'!$F$8),AB304,0)+IF(AND('Your debts'!$F$11&lt;&gt;"",'Your debts'!$F$8&lt;&gt;"",'Your debts'!$F$11&lt;'Your debts'!$F$8),AG304,0)+IF(AND('Your debts'!$F$12&lt;&gt;"",'Your debts'!$F$8&lt;&gt;"",'Your debts'!$F$12&lt;'Your debts'!$F$8),AL304,0)+IF(AND('Your debts'!$F$13&lt;&gt;"",'Your debts'!$F$8&lt;&gt;"",'Your debts'!$F$13&lt;'Your debts'!$F$8),AQ304,0)+IF(AND('Your debts'!$F$14&lt;&gt;"",'Your debts'!$F$8&lt;&gt;"",'Your debts'!$F$14&lt;'Your debts'!$F$8),AV304,0)+IF(AND('Your debts'!$F$15&lt;&gt;"",'Your debts'!$F$8&lt;&gt;"",'Your debts'!$F$15&lt;'Your debts'!$F$8),BA304,0)))))</f>
        <v/>
      </c>
      <c r="T304" s="33">
        <f>R304-S304</f>
        <v/>
      </c>
      <c r="U304" s="33">
        <f>IF(Y303&lt;=0,0,ROUND(Y303*(1+'Your debts'!$D$9/1200),2))</f>
        <v/>
      </c>
      <c r="V304" s="33">
        <f>IF(U304&lt;=0,0,MIN('Your debts'!$E$9,U304))</f>
        <v/>
      </c>
      <c r="W304" s="33">
        <f>U304-V304</f>
        <v/>
      </c>
      <c r="X304" s="33">
        <f>IF('Your debts'!$F$9="",0,MIN(W304,MAX(0,MAX(0,'Your debts'!$C$19-(G304+L304+Q304+V304+AA304+AF304+AK304+AP304+AU304+AZ304))-(IF(AND('Your debts'!$F$6&lt;&gt;"",'Your debts'!$F$9&lt;&gt;"",'Your debts'!$F$6&lt;'Your debts'!$F$9),H304,0)+IF(AND('Your debts'!$F$7&lt;&gt;"",'Your debts'!$F$9&lt;&gt;"",'Your debts'!$F$7&lt;'Your debts'!$F$9),M304,0)+IF(AND('Your debts'!$F$8&lt;&gt;"",'Your debts'!$F$9&lt;&gt;"",'Your debts'!$F$8&lt;'Your debts'!$F$9),R304,0)+IF(AND('Your debts'!$F$10&lt;&gt;"",'Your debts'!$F$9&lt;&gt;"",'Your debts'!$F$10&lt;'Your debts'!$F$9),AB304,0)+IF(AND('Your debts'!$F$11&lt;&gt;"",'Your debts'!$F$9&lt;&gt;"",'Your debts'!$F$11&lt;'Your debts'!$F$9),AG304,0)+IF(AND('Your debts'!$F$12&lt;&gt;"",'Your debts'!$F$9&lt;&gt;"",'Your debts'!$F$12&lt;'Your debts'!$F$9),AL304,0)+IF(AND('Your debts'!$F$13&lt;&gt;"",'Your debts'!$F$9&lt;&gt;"",'Your debts'!$F$13&lt;'Your debts'!$F$9),AQ304,0)+IF(AND('Your debts'!$F$14&lt;&gt;"",'Your debts'!$F$9&lt;&gt;"",'Your debts'!$F$14&lt;'Your debts'!$F$9),AV304,0)+IF(AND('Your debts'!$F$15&lt;&gt;"",'Your debts'!$F$9&lt;&gt;"",'Your debts'!$F$15&lt;'Your debts'!$F$9),BA304,0)))))</f>
        <v/>
      </c>
      <c r="Y304" s="33">
        <f>W304-X304</f>
        <v/>
      </c>
      <c r="Z304" s="33">
        <f>IF(AD303&lt;=0,0,ROUND(AD303*(1+'Your debts'!$D$10/1200),2))</f>
        <v/>
      </c>
      <c r="AA304" s="33">
        <f>IF(Z304&lt;=0,0,MIN('Your debts'!$E$10,Z304))</f>
        <v/>
      </c>
      <c r="AB304" s="33">
        <f>Z304-AA304</f>
        <v/>
      </c>
      <c r="AC304" s="33">
        <f>IF('Your debts'!$F$10="",0,MIN(AB304,MAX(0,MAX(0,'Your debts'!$C$19-(G304+L304+Q304+V304+AA304+AF304+AK304+AP304+AU304+AZ304))-(IF(AND('Your debts'!$F$6&lt;&gt;"",'Your debts'!$F$10&lt;&gt;"",'Your debts'!$F$6&lt;'Your debts'!$F$10),H304,0)+IF(AND('Your debts'!$F$7&lt;&gt;"",'Your debts'!$F$10&lt;&gt;"",'Your debts'!$F$7&lt;'Your debts'!$F$10),M304,0)+IF(AND('Your debts'!$F$8&lt;&gt;"",'Your debts'!$F$10&lt;&gt;"",'Your debts'!$F$8&lt;'Your debts'!$F$10),R304,0)+IF(AND('Your debts'!$F$9&lt;&gt;"",'Your debts'!$F$10&lt;&gt;"",'Your debts'!$F$9&lt;'Your debts'!$F$10),W304,0)+IF(AND('Your debts'!$F$11&lt;&gt;"",'Your debts'!$F$10&lt;&gt;"",'Your debts'!$F$11&lt;'Your debts'!$F$10),AG304,0)+IF(AND('Your debts'!$F$12&lt;&gt;"",'Your debts'!$F$10&lt;&gt;"",'Your debts'!$F$12&lt;'Your debts'!$F$10),AL304,0)+IF(AND('Your debts'!$F$13&lt;&gt;"",'Your debts'!$F$10&lt;&gt;"",'Your debts'!$F$13&lt;'Your debts'!$F$10),AQ304,0)+IF(AND('Your debts'!$F$14&lt;&gt;"",'Your debts'!$F$10&lt;&gt;"",'Your debts'!$F$14&lt;'Your debts'!$F$10),AV304,0)+IF(AND('Your debts'!$F$15&lt;&gt;"",'Your debts'!$F$10&lt;&gt;"",'Your debts'!$F$15&lt;'Your debts'!$F$10),BA304,0)))))</f>
        <v/>
      </c>
      <c r="AD304" s="33">
        <f>AB304-AC304</f>
        <v/>
      </c>
      <c r="AE304" s="33">
        <f>IF(AI303&lt;=0,0,ROUND(AI303*(1+'Your debts'!$D$11/1200),2))</f>
        <v/>
      </c>
      <c r="AF304" s="33">
        <f>IF(AE304&lt;=0,0,MIN('Your debts'!$E$11,AE304))</f>
        <v/>
      </c>
      <c r="AG304" s="33">
        <f>AE304-AF304</f>
        <v/>
      </c>
      <c r="AH304" s="33">
        <f>IF('Your debts'!$F$11="",0,MIN(AG304,MAX(0,MAX(0,'Your debts'!$C$19-(G304+L304+Q304+V304+AA304+AF304+AK304+AP304+AU304+AZ304))-(IF(AND('Your debts'!$F$6&lt;&gt;"",'Your debts'!$F$11&lt;&gt;"",'Your debts'!$F$6&lt;'Your debts'!$F$11),H304,0)+IF(AND('Your debts'!$F$7&lt;&gt;"",'Your debts'!$F$11&lt;&gt;"",'Your debts'!$F$7&lt;'Your debts'!$F$11),M304,0)+IF(AND('Your debts'!$F$8&lt;&gt;"",'Your debts'!$F$11&lt;&gt;"",'Your debts'!$F$8&lt;'Your debts'!$F$11),R304,0)+IF(AND('Your debts'!$F$9&lt;&gt;"",'Your debts'!$F$11&lt;&gt;"",'Your debts'!$F$9&lt;'Your debts'!$F$11),W304,0)+IF(AND('Your debts'!$F$10&lt;&gt;"",'Your debts'!$F$11&lt;&gt;"",'Your debts'!$F$10&lt;'Your debts'!$F$11),AB304,0)+IF(AND('Your debts'!$F$12&lt;&gt;"",'Your debts'!$F$11&lt;&gt;"",'Your debts'!$F$12&lt;'Your debts'!$F$11),AL304,0)+IF(AND('Your debts'!$F$13&lt;&gt;"",'Your debts'!$F$11&lt;&gt;"",'Your debts'!$F$13&lt;'Your debts'!$F$11),AQ304,0)+IF(AND('Your debts'!$F$14&lt;&gt;"",'Your debts'!$F$11&lt;&gt;"",'Your debts'!$F$14&lt;'Your debts'!$F$11),AV304,0)+IF(AND('Your debts'!$F$15&lt;&gt;"",'Your debts'!$F$11&lt;&gt;"",'Your debts'!$F$15&lt;'Your debts'!$F$11),BA304,0)))))</f>
        <v/>
      </c>
      <c r="AI304" s="33">
        <f>AG304-AH304</f>
        <v/>
      </c>
      <c r="AJ304" s="33">
        <f>IF(AN303&lt;=0,0,ROUND(AN303*(1+'Your debts'!$D$12/1200),2))</f>
        <v/>
      </c>
      <c r="AK304" s="33">
        <f>IF(AJ304&lt;=0,0,MIN('Your debts'!$E$12,AJ304))</f>
        <v/>
      </c>
      <c r="AL304" s="33">
        <f>AJ304-AK304</f>
        <v/>
      </c>
      <c r="AM304" s="33">
        <f>IF('Your debts'!$F$12="",0,MIN(AL304,MAX(0,MAX(0,'Your debts'!$C$19-(G304+L304+Q304+V304+AA304+AF304+AK304+AP304+AU304+AZ304))-(IF(AND('Your debts'!$F$6&lt;&gt;"",'Your debts'!$F$12&lt;&gt;"",'Your debts'!$F$6&lt;'Your debts'!$F$12),H304,0)+IF(AND('Your debts'!$F$7&lt;&gt;"",'Your debts'!$F$12&lt;&gt;"",'Your debts'!$F$7&lt;'Your debts'!$F$12),M304,0)+IF(AND('Your debts'!$F$8&lt;&gt;"",'Your debts'!$F$12&lt;&gt;"",'Your debts'!$F$8&lt;'Your debts'!$F$12),R304,0)+IF(AND('Your debts'!$F$9&lt;&gt;"",'Your debts'!$F$12&lt;&gt;"",'Your debts'!$F$9&lt;'Your debts'!$F$12),W304,0)+IF(AND('Your debts'!$F$10&lt;&gt;"",'Your debts'!$F$12&lt;&gt;"",'Your debts'!$F$10&lt;'Your debts'!$F$12),AB304,0)+IF(AND('Your debts'!$F$11&lt;&gt;"",'Your debts'!$F$12&lt;&gt;"",'Your debts'!$F$11&lt;'Your debts'!$F$12),AG304,0)+IF(AND('Your debts'!$F$13&lt;&gt;"",'Your debts'!$F$12&lt;&gt;"",'Your debts'!$F$13&lt;'Your debts'!$F$12),AQ304,0)+IF(AND('Your debts'!$F$14&lt;&gt;"",'Your debts'!$F$12&lt;&gt;"",'Your debts'!$F$14&lt;'Your debts'!$F$12),AV304,0)+IF(AND('Your debts'!$F$15&lt;&gt;"",'Your debts'!$F$12&lt;&gt;"",'Your debts'!$F$15&lt;'Your debts'!$F$12),BA304,0)))))</f>
        <v/>
      </c>
      <c r="AN304" s="33">
        <f>AL304-AM304</f>
        <v/>
      </c>
      <c r="AO304" s="33">
        <f>IF(AS303&lt;=0,0,ROUND(AS303*(1+'Your debts'!$D$13/1200),2))</f>
        <v/>
      </c>
      <c r="AP304" s="33">
        <f>IF(AO304&lt;=0,0,MIN('Your debts'!$E$13,AO304))</f>
        <v/>
      </c>
      <c r="AQ304" s="33">
        <f>AO304-AP304</f>
        <v/>
      </c>
      <c r="AR304" s="33">
        <f>IF('Your debts'!$F$13="",0,MIN(AQ304,MAX(0,MAX(0,'Your debts'!$C$19-(G304+L304+Q304+V304+AA304+AF304+AK304+AP304+AU304+AZ304))-(IF(AND('Your debts'!$F$6&lt;&gt;"",'Your debts'!$F$13&lt;&gt;"",'Your debts'!$F$6&lt;'Your debts'!$F$13),H304,0)+IF(AND('Your debts'!$F$7&lt;&gt;"",'Your debts'!$F$13&lt;&gt;"",'Your debts'!$F$7&lt;'Your debts'!$F$13),M304,0)+IF(AND('Your debts'!$F$8&lt;&gt;"",'Your debts'!$F$13&lt;&gt;"",'Your debts'!$F$8&lt;'Your debts'!$F$13),R304,0)+IF(AND('Your debts'!$F$9&lt;&gt;"",'Your debts'!$F$13&lt;&gt;"",'Your debts'!$F$9&lt;'Your debts'!$F$13),W304,0)+IF(AND('Your debts'!$F$10&lt;&gt;"",'Your debts'!$F$13&lt;&gt;"",'Your debts'!$F$10&lt;'Your debts'!$F$13),AB304,0)+IF(AND('Your debts'!$F$11&lt;&gt;"",'Your debts'!$F$13&lt;&gt;"",'Your debts'!$F$11&lt;'Your debts'!$F$13),AG304,0)+IF(AND('Your debts'!$F$12&lt;&gt;"",'Your debts'!$F$13&lt;&gt;"",'Your debts'!$F$12&lt;'Your debts'!$F$13),AL304,0)+IF(AND('Your debts'!$F$14&lt;&gt;"",'Your debts'!$F$13&lt;&gt;"",'Your debts'!$F$14&lt;'Your debts'!$F$13),AV304,0)+IF(AND('Your debts'!$F$15&lt;&gt;"",'Your debts'!$F$13&lt;&gt;"",'Your debts'!$F$15&lt;'Your debts'!$F$13),BA304,0)))))</f>
        <v/>
      </c>
      <c r="AS304" s="33">
        <f>AQ304-AR304</f>
        <v/>
      </c>
      <c r="AT304" s="33">
        <f>IF(AX303&lt;=0,0,ROUND(AX303*(1+'Your debts'!$D$14/1200),2))</f>
        <v/>
      </c>
      <c r="AU304" s="33">
        <f>IF(AT304&lt;=0,0,MIN('Your debts'!$E$14,AT304))</f>
        <v/>
      </c>
      <c r="AV304" s="33">
        <f>AT304-AU304</f>
        <v/>
      </c>
      <c r="AW304" s="33">
        <f>IF('Your debts'!$F$14="",0,MIN(AV304,MAX(0,MAX(0,'Your debts'!$C$19-(G304+L304+Q304+V304+AA304+AF304+AK304+AP304+AU304+AZ304))-(IF(AND('Your debts'!$F$6&lt;&gt;"",'Your debts'!$F$14&lt;&gt;"",'Your debts'!$F$6&lt;'Your debts'!$F$14),H304,0)+IF(AND('Your debts'!$F$7&lt;&gt;"",'Your debts'!$F$14&lt;&gt;"",'Your debts'!$F$7&lt;'Your debts'!$F$14),M304,0)+IF(AND('Your debts'!$F$8&lt;&gt;"",'Your debts'!$F$14&lt;&gt;"",'Your debts'!$F$8&lt;'Your debts'!$F$14),R304,0)+IF(AND('Your debts'!$F$9&lt;&gt;"",'Your debts'!$F$14&lt;&gt;"",'Your debts'!$F$9&lt;'Your debts'!$F$14),W304,0)+IF(AND('Your debts'!$F$10&lt;&gt;"",'Your debts'!$F$14&lt;&gt;"",'Your debts'!$F$10&lt;'Your debts'!$F$14),AB304,0)+IF(AND('Your debts'!$F$11&lt;&gt;"",'Your debts'!$F$14&lt;&gt;"",'Your debts'!$F$11&lt;'Your debts'!$F$14),AG304,0)+IF(AND('Your debts'!$F$12&lt;&gt;"",'Your debts'!$F$14&lt;&gt;"",'Your debts'!$F$12&lt;'Your debts'!$F$14),AL304,0)+IF(AND('Your debts'!$F$13&lt;&gt;"",'Your debts'!$F$14&lt;&gt;"",'Your debts'!$F$13&lt;'Your debts'!$F$14),AQ304,0)+IF(AND('Your debts'!$F$15&lt;&gt;"",'Your debts'!$F$14&lt;&gt;"",'Your debts'!$F$15&lt;'Your debts'!$F$14),BA304,0)))))</f>
        <v/>
      </c>
      <c r="AX304" s="33">
        <f>AV304-AW304</f>
        <v/>
      </c>
      <c r="AY304" s="33">
        <f>IF(BC303&lt;=0,0,ROUND(BC303*(1+'Your debts'!$D$15/1200),2))</f>
        <v/>
      </c>
      <c r="AZ304" s="33">
        <f>IF(AY304&lt;=0,0,MIN('Your debts'!$E$15,AY304))</f>
        <v/>
      </c>
      <c r="BA304" s="33">
        <f>AY304-AZ304</f>
        <v/>
      </c>
      <c r="BB304" s="33">
        <f>IF('Your debts'!$F$15="",0,MIN(BA304,MAX(0,MAX(0,'Your debts'!$C$19-(G304+L304+Q304+V304+AA304+AF304+AK304+AP304+AU304+AZ304))-(IF(AND('Your debts'!$F$6&lt;&gt;"",'Your debts'!$F$15&lt;&gt;"",'Your debts'!$F$6&lt;'Your debts'!$F$15),H304,0)+IF(AND('Your debts'!$F$7&lt;&gt;"",'Your debts'!$F$15&lt;&gt;"",'Your debts'!$F$7&lt;'Your debts'!$F$15),M304,0)+IF(AND('Your debts'!$F$8&lt;&gt;"",'Your debts'!$F$15&lt;&gt;"",'Your debts'!$F$8&lt;'Your debts'!$F$15),R304,0)+IF(AND('Your debts'!$F$9&lt;&gt;"",'Your debts'!$F$15&lt;&gt;"",'Your debts'!$F$9&lt;'Your debts'!$F$15),W304,0)+IF(AND('Your debts'!$F$10&lt;&gt;"",'Your debts'!$F$15&lt;&gt;"",'Your debts'!$F$10&lt;'Your debts'!$F$15),AB304,0)+IF(AND('Your debts'!$F$11&lt;&gt;"",'Your debts'!$F$15&lt;&gt;"",'Your debts'!$F$11&lt;'Your debts'!$F$15),AG304,0)+IF(AND('Your debts'!$F$12&lt;&gt;"",'Your debts'!$F$15&lt;&gt;"",'Your debts'!$F$12&lt;'Your debts'!$F$15),AL304,0)+IF(AND('Your debts'!$F$13&lt;&gt;"",'Your debts'!$F$15&lt;&gt;"",'Your debts'!$F$13&lt;'Your debts'!$F$15),AQ304,0)+IF(AND('Your debts'!$F$14&lt;&gt;"",'Your debts'!$F$15&lt;&gt;"",'Your debts'!$F$14&lt;'Your debts'!$F$15),AV304,0)))))</f>
        <v/>
      </c>
      <c r="BC304" s="33">
        <f>BA304-BB304</f>
        <v/>
      </c>
    </row>
    <row r="305">
      <c r="A305" s="30" t="n">
        <v>290</v>
      </c>
      <c r="B305" s="31">
        <f>EDATE($B$15,290)</f>
        <v/>
      </c>
      <c r="C305" s="32">
        <f>IF(J304&lt;=0,0,F305-J304)+IF(O304&lt;=0,0,K305-O304)+IF(T304&lt;=0,0,P305-T304)+IF(Y304&lt;=0,0,U305-Y304)+IF(AD304&lt;=0,0,Z305-AD304)+IF(AI304&lt;=0,0,AE305-AI304)+IF(AN304&lt;=0,0,AJ305-AN304)+IF(AS304&lt;=0,0,AO305-AS304)+IF(AX304&lt;=0,0,AT305-AX304)+IF(BC304&lt;=0,0,AY305-BC304)</f>
        <v/>
      </c>
      <c r="D305" s="32">
        <f>G305+I305+L305+N305+Q305+S305+V305+X305+AA305+AC305+AF305+AH305+AK305+AM305+AP305+AR305+AU305+AW305+AZ305+BB305</f>
        <v/>
      </c>
      <c r="E305" s="32">
        <f>J305+O305+T305+Y305+AD305+AI305+AN305+AS305+AX305+BC305</f>
        <v/>
      </c>
      <c r="F305" s="33">
        <f>IF(J304&lt;=0,0,ROUND(J304*(1+'Your debts'!$D$6/1200),2))</f>
        <v/>
      </c>
      <c r="G305" s="33">
        <f>IF(F305&lt;=0,0,MIN('Your debts'!$E$6,F305))</f>
        <v/>
      </c>
      <c r="H305" s="33">
        <f>F305-G305</f>
        <v/>
      </c>
      <c r="I305" s="33">
        <f>IF('Your debts'!$F$6="",0,MIN(H305,MAX(0,MAX(0,'Your debts'!$C$19-(G305+L305+Q305+V305+AA305+AF305+AK305+AP305+AU305+AZ305))-(IF(AND('Your debts'!$F$7&lt;&gt;"",'Your debts'!$F$6&lt;&gt;"",'Your debts'!$F$7&lt;'Your debts'!$F$6),M305,0)+IF(AND('Your debts'!$F$8&lt;&gt;"",'Your debts'!$F$6&lt;&gt;"",'Your debts'!$F$8&lt;'Your debts'!$F$6),R305,0)+IF(AND('Your debts'!$F$9&lt;&gt;"",'Your debts'!$F$6&lt;&gt;"",'Your debts'!$F$9&lt;'Your debts'!$F$6),W305,0)+IF(AND('Your debts'!$F$10&lt;&gt;"",'Your debts'!$F$6&lt;&gt;"",'Your debts'!$F$10&lt;'Your debts'!$F$6),AB305,0)+IF(AND('Your debts'!$F$11&lt;&gt;"",'Your debts'!$F$6&lt;&gt;"",'Your debts'!$F$11&lt;'Your debts'!$F$6),AG305,0)+IF(AND('Your debts'!$F$12&lt;&gt;"",'Your debts'!$F$6&lt;&gt;"",'Your debts'!$F$12&lt;'Your debts'!$F$6),AL305,0)+IF(AND('Your debts'!$F$13&lt;&gt;"",'Your debts'!$F$6&lt;&gt;"",'Your debts'!$F$13&lt;'Your debts'!$F$6),AQ305,0)+IF(AND('Your debts'!$F$14&lt;&gt;"",'Your debts'!$F$6&lt;&gt;"",'Your debts'!$F$14&lt;'Your debts'!$F$6),AV305,0)+IF(AND('Your debts'!$F$15&lt;&gt;"",'Your debts'!$F$6&lt;&gt;"",'Your debts'!$F$15&lt;'Your debts'!$F$6),BA305,0)))))</f>
        <v/>
      </c>
      <c r="J305" s="33">
        <f>H305-I305</f>
        <v/>
      </c>
      <c r="K305" s="33">
        <f>IF(O304&lt;=0,0,ROUND(O304*(1+'Your debts'!$D$7/1200),2))</f>
        <v/>
      </c>
      <c r="L305" s="33">
        <f>IF(K305&lt;=0,0,MIN('Your debts'!$E$7,K305))</f>
        <v/>
      </c>
      <c r="M305" s="33">
        <f>K305-L305</f>
        <v/>
      </c>
      <c r="N305" s="33">
        <f>IF('Your debts'!$F$7="",0,MIN(M305,MAX(0,MAX(0,'Your debts'!$C$19-(G305+L305+Q305+V305+AA305+AF305+AK305+AP305+AU305+AZ305))-(IF(AND('Your debts'!$F$6&lt;&gt;"",'Your debts'!$F$7&lt;&gt;"",'Your debts'!$F$6&lt;'Your debts'!$F$7),H305,0)+IF(AND('Your debts'!$F$8&lt;&gt;"",'Your debts'!$F$7&lt;&gt;"",'Your debts'!$F$8&lt;'Your debts'!$F$7),R305,0)+IF(AND('Your debts'!$F$9&lt;&gt;"",'Your debts'!$F$7&lt;&gt;"",'Your debts'!$F$9&lt;'Your debts'!$F$7),W305,0)+IF(AND('Your debts'!$F$10&lt;&gt;"",'Your debts'!$F$7&lt;&gt;"",'Your debts'!$F$10&lt;'Your debts'!$F$7),AB305,0)+IF(AND('Your debts'!$F$11&lt;&gt;"",'Your debts'!$F$7&lt;&gt;"",'Your debts'!$F$11&lt;'Your debts'!$F$7),AG305,0)+IF(AND('Your debts'!$F$12&lt;&gt;"",'Your debts'!$F$7&lt;&gt;"",'Your debts'!$F$12&lt;'Your debts'!$F$7),AL305,0)+IF(AND('Your debts'!$F$13&lt;&gt;"",'Your debts'!$F$7&lt;&gt;"",'Your debts'!$F$13&lt;'Your debts'!$F$7),AQ305,0)+IF(AND('Your debts'!$F$14&lt;&gt;"",'Your debts'!$F$7&lt;&gt;"",'Your debts'!$F$14&lt;'Your debts'!$F$7),AV305,0)+IF(AND('Your debts'!$F$15&lt;&gt;"",'Your debts'!$F$7&lt;&gt;"",'Your debts'!$F$15&lt;'Your debts'!$F$7),BA305,0)))))</f>
        <v/>
      </c>
      <c r="O305" s="33">
        <f>M305-N305</f>
        <v/>
      </c>
      <c r="P305" s="33">
        <f>IF(T304&lt;=0,0,ROUND(T304*(1+'Your debts'!$D$8/1200),2))</f>
        <v/>
      </c>
      <c r="Q305" s="33">
        <f>IF(P305&lt;=0,0,MIN('Your debts'!$E$8,P305))</f>
        <v/>
      </c>
      <c r="R305" s="33">
        <f>P305-Q305</f>
        <v/>
      </c>
      <c r="S305" s="33">
        <f>IF('Your debts'!$F$8="",0,MIN(R305,MAX(0,MAX(0,'Your debts'!$C$19-(G305+L305+Q305+V305+AA305+AF305+AK305+AP305+AU305+AZ305))-(IF(AND('Your debts'!$F$6&lt;&gt;"",'Your debts'!$F$8&lt;&gt;"",'Your debts'!$F$6&lt;'Your debts'!$F$8),H305,0)+IF(AND('Your debts'!$F$7&lt;&gt;"",'Your debts'!$F$8&lt;&gt;"",'Your debts'!$F$7&lt;'Your debts'!$F$8),M305,0)+IF(AND('Your debts'!$F$9&lt;&gt;"",'Your debts'!$F$8&lt;&gt;"",'Your debts'!$F$9&lt;'Your debts'!$F$8),W305,0)+IF(AND('Your debts'!$F$10&lt;&gt;"",'Your debts'!$F$8&lt;&gt;"",'Your debts'!$F$10&lt;'Your debts'!$F$8),AB305,0)+IF(AND('Your debts'!$F$11&lt;&gt;"",'Your debts'!$F$8&lt;&gt;"",'Your debts'!$F$11&lt;'Your debts'!$F$8),AG305,0)+IF(AND('Your debts'!$F$12&lt;&gt;"",'Your debts'!$F$8&lt;&gt;"",'Your debts'!$F$12&lt;'Your debts'!$F$8),AL305,0)+IF(AND('Your debts'!$F$13&lt;&gt;"",'Your debts'!$F$8&lt;&gt;"",'Your debts'!$F$13&lt;'Your debts'!$F$8),AQ305,0)+IF(AND('Your debts'!$F$14&lt;&gt;"",'Your debts'!$F$8&lt;&gt;"",'Your debts'!$F$14&lt;'Your debts'!$F$8),AV305,0)+IF(AND('Your debts'!$F$15&lt;&gt;"",'Your debts'!$F$8&lt;&gt;"",'Your debts'!$F$15&lt;'Your debts'!$F$8),BA305,0)))))</f>
        <v/>
      </c>
      <c r="T305" s="33">
        <f>R305-S305</f>
        <v/>
      </c>
      <c r="U305" s="33">
        <f>IF(Y304&lt;=0,0,ROUND(Y304*(1+'Your debts'!$D$9/1200),2))</f>
        <v/>
      </c>
      <c r="V305" s="33">
        <f>IF(U305&lt;=0,0,MIN('Your debts'!$E$9,U305))</f>
        <v/>
      </c>
      <c r="W305" s="33">
        <f>U305-V305</f>
        <v/>
      </c>
      <c r="X305" s="33">
        <f>IF('Your debts'!$F$9="",0,MIN(W305,MAX(0,MAX(0,'Your debts'!$C$19-(G305+L305+Q305+V305+AA305+AF305+AK305+AP305+AU305+AZ305))-(IF(AND('Your debts'!$F$6&lt;&gt;"",'Your debts'!$F$9&lt;&gt;"",'Your debts'!$F$6&lt;'Your debts'!$F$9),H305,0)+IF(AND('Your debts'!$F$7&lt;&gt;"",'Your debts'!$F$9&lt;&gt;"",'Your debts'!$F$7&lt;'Your debts'!$F$9),M305,0)+IF(AND('Your debts'!$F$8&lt;&gt;"",'Your debts'!$F$9&lt;&gt;"",'Your debts'!$F$8&lt;'Your debts'!$F$9),R305,0)+IF(AND('Your debts'!$F$10&lt;&gt;"",'Your debts'!$F$9&lt;&gt;"",'Your debts'!$F$10&lt;'Your debts'!$F$9),AB305,0)+IF(AND('Your debts'!$F$11&lt;&gt;"",'Your debts'!$F$9&lt;&gt;"",'Your debts'!$F$11&lt;'Your debts'!$F$9),AG305,0)+IF(AND('Your debts'!$F$12&lt;&gt;"",'Your debts'!$F$9&lt;&gt;"",'Your debts'!$F$12&lt;'Your debts'!$F$9),AL305,0)+IF(AND('Your debts'!$F$13&lt;&gt;"",'Your debts'!$F$9&lt;&gt;"",'Your debts'!$F$13&lt;'Your debts'!$F$9),AQ305,0)+IF(AND('Your debts'!$F$14&lt;&gt;"",'Your debts'!$F$9&lt;&gt;"",'Your debts'!$F$14&lt;'Your debts'!$F$9),AV305,0)+IF(AND('Your debts'!$F$15&lt;&gt;"",'Your debts'!$F$9&lt;&gt;"",'Your debts'!$F$15&lt;'Your debts'!$F$9),BA305,0)))))</f>
        <v/>
      </c>
      <c r="Y305" s="33">
        <f>W305-X305</f>
        <v/>
      </c>
      <c r="Z305" s="33">
        <f>IF(AD304&lt;=0,0,ROUND(AD304*(1+'Your debts'!$D$10/1200),2))</f>
        <v/>
      </c>
      <c r="AA305" s="33">
        <f>IF(Z305&lt;=0,0,MIN('Your debts'!$E$10,Z305))</f>
        <v/>
      </c>
      <c r="AB305" s="33">
        <f>Z305-AA305</f>
        <v/>
      </c>
      <c r="AC305" s="33">
        <f>IF('Your debts'!$F$10="",0,MIN(AB305,MAX(0,MAX(0,'Your debts'!$C$19-(G305+L305+Q305+V305+AA305+AF305+AK305+AP305+AU305+AZ305))-(IF(AND('Your debts'!$F$6&lt;&gt;"",'Your debts'!$F$10&lt;&gt;"",'Your debts'!$F$6&lt;'Your debts'!$F$10),H305,0)+IF(AND('Your debts'!$F$7&lt;&gt;"",'Your debts'!$F$10&lt;&gt;"",'Your debts'!$F$7&lt;'Your debts'!$F$10),M305,0)+IF(AND('Your debts'!$F$8&lt;&gt;"",'Your debts'!$F$10&lt;&gt;"",'Your debts'!$F$8&lt;'Your debts'!$F$10),R305,0)+IF(AND('Your debts'!$F$9&lt;&gt;"",'Your debts'!$F$10&lt;&gt;"",'Your debts'!$F$9&lt;'Your debts'!$F$10),W305,0)+IF(AND('Your debts'!$F$11&lt;&gt;"",'Your debts'!$F$10&lt;&gt;"",'Your debts'!$F$11&lt;'Your debts'!$F$10),AG305,0)+IF(AND('Your debts'!$F$12&lt;&gt;"",'Your debts'!$F$10&lt;&gt;"",'Your debts'!$F$12&lt;'Your debts'!$F$10),AL305,0)+IF(AND('Your debts'!$F$13&lt;&gt;"",'Your debts'!$F$10&lt;&gt;"",'Your debts'!$F$13&lt;'Your debts'!$F$10),AQ305,0)+IF(AND('Your debts'!$F$14&lt;&gt;"",'Your debts'!$F$10&lt;&gt;"",'Your debts'!$F$14&lt;'Your debts'!$F$10),AV305,0)+IF(AND('Your debts'!$F$15&lt;&gt;"",'Your debts'!$F$10&lt;&gt;"",'Your debts'!$F$15&lt;'Your debts'!$F$10),BA305,0)))))</f>
        <v/>
      </c>
      <c r="AD305" s="33">
        <f>AB305-AC305</f>
        <v/>
      </c>
      <c r="AE305" s="33">
        <f>IF(AI304&lt;=0,0,ROUND(AI304*(1+'Your debts'!$D$11/1200),2))</f>
        <v/>
      </c>
      <c r="AF305" s="33">
        <f>IF(AE305&lt;=0,0,MIN('Your debts'!$E$11,AE305))</f>
        <v/>
      </c>
      <c r="AG305" s="33">
        <f>AE305-AF305</f>
        <v/>
      </c>
      <c r="AH305" s="33">
        <f>IF('Your debts'!$F$11="",0,MIN(AG305,MAX(0,MAX(0,'Your debts'!$C$19-(G305+L305+Q305+V305+AA305+AF305+AK305+AP305+AU305+AZ305))-(IF(AND('Your debts'!$F$6&lt;&gt;"",'Your debts'!$F$11&lt;&gt;"",'Your debts'!$F$6&lt;'Your debts'!$F$11),H305,0)+IF(AND('Your debts'!$F$7&lt;&gt;"",'Your debts'!$F$11&lt;&gt;"",'Your debts'!$F$7&lt;'Your debts'!$F$11),M305,0)+IF(AND('Your debts'!$F$8&lt;&gt;"",'Your debts'!$F$11&lt;&gt;"",'Your debts'!$F$8&lt;'Your debts'!$F$11),R305,0)+IF(AND('Your debts'!$F$9&lt;&gt;"",'Your debts'!$F$11&lt;&gt;"",'Your debts'!$F$9&lt;'Your debts'!$F$11),W305,0)+IF(AND('Your debts'!$F$10&lt;&gt;"",'Your debts'!$F$11&lt;&gt;"",'Your debts'!$F$10&lt;'Your debts'!$F$11),AB305,0)+IF(AND('Your debts'!$F$12&lt;&gt;"",'Your debts'!$F$11&lt;&gt;"",'Your debts'!$F$12&lt;'Your debts'!$F$11),AL305,0)+IF(AND('Your debts'!$F$13&lt;&gt;"",'Your debts'!$F$11&lt;&gt;"",'Your debts'!$F$13&lt;'Your debts'!$F$11),AQ305,0)+IF(AND('Your debts'!$F$14&lt;&gt;"",'Your debts'!$F$11&lt;&gt;"",'Your debts'!$F$14&lt;'Your debts'!$F$11),AV305,0)+IF(AND('Your debts'!$F$15&lt;&gt;"",'Your debts'!$F$11&lt;&gt;"",'Your debts'!$F$15&lt;'Your debts'!$F$11),BA305,0)))))</f>
        <v/>
      </c>
      <c r="AI305" s="33">
        <f>AG305-AH305</f>
        <v/>
      </c>
      <c r="AJ305" s="33">
        <f>IF(AN304&lt;=0,0,ROUND(AN304*(1+'Your debts'!$D$12/1200),2))</f>
        <v/>
      </c>
      <c r="AK305" s="33">
        <f>IF(AJ305&lt;=0,0,MIN('Your debts'!$E$12,AJ305))</f>
        <v/>
      </c>
      <c r="AL305" s="33">
        <f>AJ305-AK305</f>
        <v/>
      </c>
      <c r="AM305" s="33">
        <f>IF('Your debts'!$F$12="",0,MIN(AL305,MAX(0,MAX(0,'Your debts'!$C$19-(G305+L305+Q305+V305+AA305+AF305+AK305+AP305+AU305+AZ305))-(IF(AND('Your debts'!$F$6&lt;&gt;"",'Your debts'!$F$12&lt;&gt;"",'Your debts'!$F$6&lt;'Your debts'!$F$12),H305,0)+IF(AND('Your debts'!$F$7&lt;&gt;"",'Your debts'!$F$12&lt;&gt;"",'Your debts'!$F$7&lt;'Your debts'!$F$12),M305,0)+IF(AND('Your debts'!$F$8&lt;&gt;"",'Your debts'!$F$12&lt;&gt;"",'Your debts'!$F$8&lt;'Your debts'!$F$12),R305,0)+IF(AND('Your debts'!$F$9&lt;&gt;"",'Your debts'!$F$12&lt;&gt;"",'Your debts'!$F$9&lt;'Your debts'!$F$12),W305,0)+IF(AND('Your debts'!$F$10&lt;&gt;"",'Your debts'!$F$12&lt;&gt;"",'Your debts'!$F$10&lt;'Your debts'!$F$12),AB305,0)+IF(AND('Your debts'!$F$11&lt;&gt;"",'Your debts'!$F$12&lt;&gt;"",'Your debts'!$F$11&lt;'Your debts'!$F$12),AG305,0)+IF(AND('Your debts'!$F$13&lt;&gt;"",'Your debts'!$F$12&lt;&gt;"",'Your debts'!$F$13&lt;'Your debts'!$F$12),AQ305,0)+IF(AND('Your debts'!$F$14&lt;&gt;"",'Your debts'!$F$12&lt;&gt;"",'Your debts'!$F$14&lt;'Your debts'!$F$12),AV305,0)+IF(AND('Your debts'!$F$15&lt;&gt;"",'Your debts'!$F$12&lt;&gt;"",'Your debts'!$F$15&lt;'Your debts'!$F$12),BA305,0)))))</f>
        <v/>
      </c>
      <c r="AN305" s="33">
        <f>AL305-AM305</f>
        <v/>
      </c>
      <c r="AO305" s="33">
        <f>IF(AS304&lt;=0,0,ROUND(AS304*(1+'Your debts'!$D$13/1200),2))</f>
        <v/>
      </c>
      <c r="AP305" s="33">
        <f>IF(AO305&lt;=0,0,MIN('Your debts'!$E$13,AO305))</f>
        <v/>
      </c>
      <c r="AQ305" s="33">
        <f>AO305-AP305</f>
        <v/>
      </c>
      <c r="AR305" s="33">
        <f>IF('Your debts'!$F$13="",0,MIN(AQ305,MAX(0,MAX(0,'Your debts'!$C$19-(G305+L305+Q305+V305+AA305+AF305+AK305+AP305+AU305+AZ305))-(IF(AND('Your debts'!$F$6&lt;&gt;"",'Your debts'!$F$13&lt;&gt;"",'Your debts'!$F$6&lt;'Your debts'!$F$13),H305,0)+IF(AND('Your debts'!$F$7&lt;&gt;"",'Your debts'!$F$13&lt;&gt;"",'Your debts'!$F$7&lt;'Your debts'!$F$13),M305,0)+IF(AND('Your debts'!$F$8&lt;&gt;"",'Your debts'!$F$13&lt;&gt;"",'Your debts'!$F$8&lt;'Your debts'!$F$13),R305,0)+IF(AND('Your debts'!$F$9&lt;&gt;"",'Your debts'!$F$13&lt;&gt;"",'Your debts'!$F$9&lt;'Your debts'!$F$13),W305,0)+IF(AND('Your debts'!$F$10&lt;&gt;"",'Your debts'!$F$13&lt;&gt;"",'Your debts'!$F$10&lt;'Your debts'!$F$13),AB305,0)+IF(AND('Your debts'!$F$11&lt;&gt;"",'Your debts'!$F$13&lt;&gt;"",'Your debts'!$F$11&lt;'Your debts'!$F$13),AG305,0)+IF(AND('Your debts'!$F$12&lt;&gt;"",'Your debts'!$F$13&lt;&gt;"",'Your debts'!$F$12&lt;'Your debts'!$F$13),AL305,0)+IF(AND('Your debts'!$F$14&lt;&gt;"",'Your debts'!$F$13&lt;&gt;"",'Your debts'!$F$14&lt;'Your debts'!$F$13),AV305,0)+IF(AND('Your debts'!$F$15&lt;&gt;"",'Your debts'!$F$13&lt;&gt;"",'Your debts'!$F$15&lt;'Your debts'!$F$13),BA305,0)))))</f>
        <v/>
      </c>
      <c r="AS305" s="33">
        <f>AQ305-AR305</f>
        <v/>
      </c>
      <c r="AT305" s="33">
        <f>IF(AX304&lt;=0,0,ROUND(AX304*(1+'Your debts'!$D$14/1200),2))</f>
        <v/>
      </c>
      <c r="AU305" s="33">
        <f>IF(AT305&lt;=0,0,MIN('Your debts'!$E$14,AT305))</f>
        <v/>
      </c>
      <c r="AV305" s="33">
        <f>AT305-AU305</f>
        <v/>
      </c>
      <c r="AW305" s="33">
        <f>IF('Your debts'!$F$14="",0,MIN(AV305,MAX(0,MAX(0,'Your debts'!$C$19-(G305+L305+Q305+V305+AA305+AF305+AK305+AP305+AU305+AZ305))-(IF(AND('Your debts'!$F$6&lt;&gt;"",'Your debts'!$F$14&lt;&gt;"",'Your debts'!$F$6&lt;'Your debts'!$F$14),H305,0)+IF(AND('Your debts'!$F$7&lt;&gt;"",'Your debts'!$F$14&lt;&gt;"",'Your debts'!$F$7&lt;'Your debts'!$F$14),M305,0)+IF(AND('Your debts'!$F$8&lt;&gt;"",'Your debts'!$F$14&lt;&gt;"",'Your debts'!$F$8&lt;'Your debts'!$F$14),R305,0)+IF(AND('Your debts'!$F$9&lt;&gt;"",'Your debts'!$F$14&lt;&gt;"",'Your debts'!$F$9&lt;'Your debts'!$F$14),W305,0)+IF(AND('Your debts'!$F$10&lt;&gt;"",'Your debts'!$F$14&lt;&gt;"",'Your debts'!$F$10&lt;'Your debts'!$F$14),AB305,0)+IF(AND('Your debts'!$F$11&lt;&gt;"",'Your debts'!$F$14&lt;&gt;"",'Your debts'!$F$11&lt;'Your debts'!$F$14),AG305,0)+IF(AND('Your debts'!$F$12&lt;&gt;"",'Your debts'!$F$14&lt;&gt;"",'Your debts'!$F$12&lt;'Your debts'!$F$14),AL305,0)+IF(AND('Your debts'!$F$13&lt;&gt;"",'Your debts'!$F$14&lt;&gt;"",'Your debts'!$F$13&lt;'Your debts'!$F$14),AQ305,0)+IF(AND('Your debts'!$F$15&lt;&gt;"",'Your debts'!$F$14&lt;&gt;"",'Your debts'!$F$15&lt;'Your debts'!$F$14),BA305,0)))))</f>
        <v/>
      </c>
      <c r="AX305" s="33">
        <f>AV305-AW305</f>
        <v/>
      </c>
      <c r="AY305" s="33">
        <f>IF(BC304&lt;=0,0,ROUND(BC304*(1+'Your debts'!$D$15/1200),2))</f>
        <v/>
      </c>
      <c r="AZ305" s="33">
        <f>IF(AY305&lt;=0,0,MIN('Your debts'!$E$15,AY305))</f>
        <v/>
      </c>
      <c r="BA305" s="33">
        <f>AY305-AZ305</f>
        <v/>
      </c>
      <c r="BB305" s="33">
        <f>IF('Your debts'!$F$15="",0,MIN(BA305,MAX(0,MAX(0,'Your debts'!$C$19-(G305+L305+Q305+V305+AA305+AF305+AK305+AP305+AU305+AZ305))-(IF(AND('Your debts'!$F$6&lt;&gt;"",'Your debts'!$F$15&lt;&gt;"",'Your debts'!$F$6&lt;'Your debts'!$F$15),H305,0)+IF(AND('Your debts'!$F$7&lt;&gt;"",'Your debts'!$F$15&lt;&gt;"",'Your debts'!$F$7&lt;'Your debts'!$F$15),M305,0)+IF(AND('Your debts'!$F$8&lt;&gt;"",'Your debts'!$F$15&lt;&gt;"",'Your debts'!$F$8&lt;'Your debts'!$F$15),R305,0)+IF(AND('Your debts'!$F$9&lt;&gt;"",'Your debts'!$F$15&lt;&gt;"",'Your debts'!$F$9&lt;'Your debts'!$F$15),W305,0)+IF(AND('Your debts'!$F$10&lt;&gt;"",'Your debts'!$F$15&lt;&gt;"",'Your debts'!$F$10&lt;'Your debts'!$F$15),AB305,0)+IF(AND('Your debts'!$F$11&lt;&gt;"",'Your debts'!$F$15&lt;&gt;"",'Your debts'!$F$11&lt;'Your debts'!$F$15),AG305,0)+IF(AND('Your debts'!$F$12&lt;&gt;"",'Your debts'!$F$15&lt;&gt;"",'Your debts'!$F$12&lt;'Your debts'!$F$15),AL305,0)+IF(AND('Your debts'!$F$13&lt;&gt;"",'Your debts'!$F$15&lt;&gt;"",'Your debts'!$F$13&lt;'Your debts'!$F$15),AQ305,0)+IF(AND('Your debts'!$F$14&lt;&gt;"",'Your debts'!$F$15&lt;&gt;"",'Your debts'!$F$14&lt;'Your debts'!$F$15),AV305,0)))))</f>
        <v/>
      </c>
      <c r="BC305" s="33">
        <f>BA305-BB305</f>
        <v/>
      </c>
    </row>
    <row r="306">
      <c r="A306" s="30" t="n">
        <v>291</v>
      </c>
      <c r="B306" s="31">
        <f>EDATE($B$15,291)</f>
        <v/>
      </c>
      <c r="C306" s="32">
        <f>IF(J305&lt;=0,0,F306-J305)+IF(O305&lt;=0,0,K306-O305)+IF(T305&lt;=0,0,P306-T305)+IF(Y305&lt;=0,0,U306-Y305)+IF(AD305&lt;=0,0,Z306-AD305)+IF(AI305&lt;=0,0,AE306-AI305)+IF(AN305&lt;=0,0,AJ306-AN305)+IF(AS305&lt;=0,0,AO306-AS305)+IF(AX305&lt;=0,0,AT306-AX305)+IF(BC305&lt;=0,0,AY306-BC305)</f>
        <v/>
      </c>
      <c r="D306" s="32">
        <f>G306+I306+L306+N306+Q306+S306+V306+X306+AA306+AC306+AF306+AH306+AK306+AM306+AP306+AR306+AU306+AW306+AZ306+BB306</f>
        <v/>
      </c>
      <c r="E306" s="32">
        <f>J306+O306+T306+Y306+AD306+AI306+AN306+AS306+AX306+BC306</f>
        <v/>
      </c>
      <c r="F306" s="33">
        <f>IF(J305&lt;=0,0,ROUND(J305*(1+'Your debts'!$D$6/1200),2))</f>
        <v/>
      </c>
      <c r="G306" s="33">
        <f>IF(F306&lt;=0,0,MIN('Your debts'!$E$6,F306))</f>
        <v/>
      </c>
      <c r="H306" s="33">
        <f>F306-G306</f>
        <v/>
      </c>
      <c r="I306" s="33">
        <f>IF('Your debts'!$F$6="",0,MIN(H306,MAX(0,MAX(0,'Your debts'!$C$19-(G306+L306+Q306+V306+AA306+AF306+AK306+AP306+AU306+AZ306))-(IF(AND('Your debts'!$F$7&lt;&gt;"",'Your debts'!$F$6&lt;&gt;"",'Your debts'!$F$7&lt;'Your debts'!$F$6),M306,0)+IF(AND('Your debts'!$F$8&lt;&gt;"",'Your debts'!$F$6&lt;&gt;"",'Your debts'!$F$8&lt;'Your debts'!$F$6),R306,0)+IF(AND('Your debts'!$F$9&lt;&gt;"",'Your debts'!$F$6&lt;&gt;"",'Your debts'!$F$9&lt;'Your debts'!$F$6),W306,0)+IF(AND('Your debts'!$F$10&lt;&gt;"",'Your debts'!$F$6&lt;&gt;"",'Your debts'!$F$10&lt;'Your debts'!$F$6),AB306,0)+IF(AND('Your debts'!$F$11&lt;&gt;"",'Your debts'!$F$6&lt;&gt;"",'Your debts'!$F$11&lt;'Your debts'!$F$6),AG306,0)+IF(AND('Your debts'!$F$12&lt;&gt;"",'Your debts'!$F$6&lt;&gt;"",'Your debts'!$F$12&lt;'Your debts'!$F$6),AL306,0)+IF(AND('Your debts'!$F$13&lt;&gt;"",'Your debts'!$F$6&lt;&gt;"",'Your debts'!$F$13&lt;'Your debts'!$F$6),AQ306,0)+IF(AND('Your debts'!$F$14&lt;&gt;"",'Your debts'!$F$6&lt;&gt;"",'Your debts'!$F$14&lt;'Your debts'!$F$6),AV306,0)+IF(AND('Your debts'!$F$15&lt;&gt;"",'Your debts'!$F$6&lt;&gt;"",'Your debts'!$F$15&lt;'Your debts'!$F$6),BA306,0)))))</f>
        <v/>
      </c>
      <c r="J306" s="33">
        <f>H306-I306</f>
        <v/>
      </c>
      <c r="K306" s="33">
        <f>IF(O305&lt;=0,0,ROUND(O305*(1+'Your debts'!$D$7/1200),2))</f>
        <v/>
      </c>
      <c r="L306" s="33">
        <f>IF(K306&lt;=0,0,MIN('Your debts'!$E$7,K306))</f>
        <v/>
      </c>
      <c r="M306" s="33">
        <f>K306-L306</f>
        <v/>
      </c>
      <c r="N306" s="33">
        <f>IF('Your debts'!$F$7="",0,MIN(M306,MAX(0,MAX(0,'Your debts'!$C$19-(G306+L306+Q306+V306+AA306+AF306+AK306+AP306+AU306+AZ306))-(IF(AND('Your debts'!$F$6&lt;&gt;"",'Your debts'!$F$7&lt;&gt;"",'Your debts'!$F$6&lt;'Your debts'!$F$7),H306,0)+IF(AND('Your debts'!$F$8&lt;&gt;"",'Your debts'!$F$7&lt;&gt;"",'Your debts'!$F$8&lt;'Your debts'!$F$7),R306,0)+IF(AND('Your debts'!$F$9&lt;&gt;"",'Your debts'!$F$7&lt;&gt;"",'Your debts'!$F$9&lt;'Your debts'!$F$7),W306,0)+IF(AND('Your debts'!$F$10&lt;&gt;"",'Your debts'!$F$7&lt;&gt;"",'Your debts'!$F$10&lt;'Your debts'!$F$7),AB306,0)+IF(AND('Your debts'!$F$11&lt;&gt;"",'Your debts'!$F$7&lt;&gt;"",'Your debts'!$F$11&lt;'Your debts'!$F$7),AG306,0)+IF(AND('Your debts'!$F$12&lt;&gt;"",'Your debts'!$F$7&lt;&gt;"",'Your debts'!$F$12&lt;'Your debts'!$F$7),AL306,0)+IF(AND('Your debts'!$F$13&lt;&gt;"",'Your debts'!$F$7&lt;&gt;"",'Your debts'!$F$13&lt;'Your debts'!$F$7),AQ306,0)+IF(AND('Your debts'!$F$14&lt;&gt;"",'Your debts'!$F$7&lt;&gt;"",'Your debts'!$F$14&lt;'Your debts'!$F$7),AV306,0)+IF(AND('Your debts'!$F$15&lt;&gt;"",'Your debts'!$F$7&lt;&gt;"",'Your debts'!$F$15&lt;'Your debts'!$F$7),BA306,0)))))</f>
        <v/>
      </c>
      <c r="O306" s="33">
        <f>M306-N306</f>
        <v/>
      </c>
      <c r="P306" s="33">
        <f>IF(T305&lt;=0,0,ROUND(T305*(1+'Your debts'!$D$8/1200),2))</f>
        <v/>
      </c>
      <c r="Q306" s="33">
        <f>IF(P306&lt;=0,0,MIN('Your debts'!$E$8,P306))</f>
        <v/>
      </c>
      <c r="R306" s="33">
        <f>P306-Q306</f>
        <v/>
      </c>
      <c r="S306" s="33">
        <f>IF('Your debts'!$F$8="",0,MIN(R306,MAX(0,MAX(0,'Your debts'!$C$19-(G306+L306+Q306+V306+AA306+AF306+AK306+AP306+AU306+AZ306))-(IF(AND('Your debts'!$F$6&lt;&gt;"",'Your debts'!$F$8&lt;&gt;"",'Your debts'!$F$6&lt;'Your debts'!$F$8),H306,0)+IF(AND('Your debts'!$F$7&lt;&gt;"",'Your debts'!$F$8&lt;&gt;"",'Your debts'!$F$7&lt;'Your debts'!$F$8),M306,0)+IF(AND('Your debts'!$F$9&lt;&gt;"",'Your debts'!$F$8&lt;&gt;"",'Your debts'!$F$9&lt;'Your debts'!$F$8),W306,0)+IF(AND('Your debts'!$F$10&lt;&gt;"",'Your debts'!$F$8&lt;&gt;"",'Your debts'!$F$10&lt;'Your debts'!$F$8),AB306,0)+IF(AND('Your debts'!$F$11&lt;&gt;"",'Your debts'!$F$8&lt;&gt;"",'Your debts'!$F$11&lt;'Your debts'!$F$8),AG306,0)+IF(AND('Your debts'!$F$12&lt;&gt;"",'Your debts'!$F$8&lt;&gt;"",'Your debts'!$F$12&lt;'Your debts'!$F$8),AL306,0)+IF(AND('Your debts'!$F$13&lt;&gt;"",'Your debts'!$F$8&lt;&gt;"",'Your debts'!$F$13&lt;'Your debts'!$F$8),AQ306,0)+IF(AND('Your debts'!$F$14&lt;&gt;"",'Your debts'!$F$8&lt;&gt;"",'Your debts'!$F$14&lt;'Your debts'!$F$8),AV306,0)+IF(AND('Your debts'!$F$15&lt;&gt;"",'Your debts'!$F$8&lt;&gt;"",'Your debts'!$F$15&lt;'Your debts'!$F$8),BA306,0)))))</f>
        <v/>
      </c>
      <c r="T306" s="33">
        <f>R306-S306</f>
        <v/>
      </c>
      <c r="U306" s="33">
        <f>IF(Y305&lt;=0,0,ROUND(Y305*(1+'Your debts'!$D$9/1200),2))</f>
        <v/>
      </c>
      <c r="V306" s="33">
        <f>IF(U306&lt;=0,0,MIN('Your debts'!$E$9,U306))</f>
        <v/>
      </c>
      <c r="W306" s="33">
        <f>U306-V306</f>
        <v/>
      </c>
      <c r="X306" s="33">
        <f>IF('Your debts'!$F$9="",0,MIN(W306,MAX(0,MAX(0,'Your debts'!$C$19-(G306+L306+Q306+V306+AA306+AF306+AK306+AP306+AU306+AZ306))-(IF(AND('Your debts'!$F$6&lt;&gt;"",'Your debts'!$F$9&lt;&gt;"",'Your debts'!$F$6&lt;'Your debts'!$F$9),H306,0)+IF(AND('Your debts'!$F$7&lt;&gt;"",'Your debts'!$F$9&lt;&gt;"",'Your debts'!$F$7&lt;'Your debts'!$F$9),M306,0)+IF(AND('Your debts'!$F$8&lt;&gt;"",'Your debts'!$F$9&lt;&gt;"",'Your debts'!$F$8&lt;'Your debts'!$F$9),R306,0)+IF(AND('Your debts'!$F$10&lt;&gt;"",'Your debts'!$F$9&lt;&gt;"",'Your debts'!$F$10&lt;'Your debts'!$F$9),AB306,0)+IF(AND('Your debts'!$F$11&lt;&gt;"",'Your debts'!$F$9&lt;&gt;"",'Your debts'!$F$11&lt;'Your debts'!$F$9),AG306,0)+IF(AND('Your debts'!$F$12&lt;&gt;"",'Your debts'!$F$9&lt;&gt;"",'Your debts'!$F$12&lt;'Your debts'!$F$9),AL306,0)+IF(AND('Your debts'!$F$13&lt;&gt;"",'Your debts'!$F$9&lt;&gt;"",'Your debts'!$F$13&lt;'Your debts'!$F$9),AQ306,0)+IF(AND('Your debts'!$F$14&lt;&gt;"",'Your debts'!$F$9&lt;&gt;"",'Your debts'!$F$14&lt;'Your debts'!$F$9),AV306,0)+IF(AND('Your debts'!$F$15&lt;&gt;"",'Your debts'!$F$9&lt;&gt;"",'Your debts'!$F$15&lt;'Your debts'!$F$9),BA306,0)))))</f>
        <v/>
      </c>
      <c r="Y306" s="33">
        <f>W306-X306</f>
        <v/>
      </c>
      <c r="Z306" s="33">
        <f>IF(AD305&lt;=0,0,ROUND(AD305*(1+'Your debts'!$D$10/1200),2))</f>
        <v/>
      </c>
      <c r="AA306" s="33">
        <f>IF(Z306&lt;=0,0,MIN('Your debts'!$E$10,Z306))</f>
        <v/>
      </c>
      <c r="AB306" s="33">
        <f>Z306-AA306</f>
        <v/>
      </c>
      <c r="AC306" s="33">
        <f>IF('Your debts'!$F$10="",0,MIN(AB306,MAX(0,MAX(0,'Your debts'!$C$19-(G306+L306+Q306+V306+AA306+AF306+AK306+AP306+AU306+AZ306))-(IF(AND('Your debts'!$F$6&lt;&gt;"",'Your debts'!$F$10&lt;&gt;"",'Your debts'!$F$6&lt;'Your debts'!$F$10),H306,0)+IF(AND('Your debts'!$F$7&lt;&gt;"",'Your debts'!$F$10&lt;&gt;"",'Your debts'!$F$7&lt;'Your debts'!$F$10),M306,0)+IF(AND('Your debts'!$F$8&lt;&gt;"",'Your debts'!$F$10&lt;&gt;"",'Your debts'!$F$8&lt;'Your debts'!$F$10),R306,0)+IF(AND('Your debts'!$F$9&lt;&gt;"",'Your debts'!$F$10&lt;&gt;"",'Your debts'!$F$9&lt;'Your debts'!$F$10),W306,0)+IF(AND('Your debts'!$F$11&lt;&gt;"",'Your debts'!$F$10&lt;&gt;"",'Your debts'!$F$11&lt;'Your debts'!$F$10),AG306,0)+IF(AND('Your debts'!$F$12&lt;&gt;"",'Your debts'!$F$10&lt;&gt;"",'Your debts'!$F$12&lt;'Your debts'!$F$10),AL306,0)+IF(AND('Your debts'!$F$13&lt;&gt;"",'Your debts'!$F$10&lt;&gt;"",'Your debts'!$F$13&lt;'Your debts'!$F$10),AQ306,0)+IF(AND('Your debts'!$F$14&lt;&gt;"",'Your debts'!$F$10&lt;&gt;"",'Your debts'!$F$14&lt;'Your debts'!$F$10),AV306,0)+IF(AND('Your debts'!$F$15&lt;&gt;"",'Your debts'!$F$10&lt;&gt;"",'Your debts'!$F$15&lt;'Your debts'!$F$10),BA306,0)))))</f>
        <v/>
      </c>
      <c r="AD306" s="33">
        <f>AB306-AC306</f>
        <v/>
      </c>
      <c r="AE306" s="33">
        <f>IF(AI305&lt;=0,0,ROUND(AI305*(1+'Your debts'!$D$11/1200),2))</f>
        <v/>
      </c>
      <c r="AF306" s="33">
        <f>IF(AE306&lt;=0,0,MIN('Your debts'!$E$11,AE306))</f>
        <v/>
      </c>
      <c r="AG306" s="33">
        <f>AE306-AF306</f>
        <v/>
      </c>
      <c r="AH306" s="33">
        <f>IF('Your debts'!$F$11="",0,MIN(AG306,MAX(0,MAX(0,'Your debts'!$C$19-(G306+L306+Q306+V306+AA306+AF306+AK306+AP306+AU306+AZ306))-(IF(AND('Your debts'!$F$6&lt;&gt;"",'Your debts'!$F$11&lt;&gt;"",'Your debts'!$F$6&lt;'Your debts'!$F$11),H306,0)+IF(AND('Your debts'!$F$7&lt;&gt;"",'Your debts'!$F$11&lt;&gt;"",'Your debts'!$F$7&lt;'Your debts'!$F$11),M306,0)+IF(AND('Your debts'!$F$8&lt;&gt;"",'Your debts'!$F$11&lt;&gt;"",'Your debts'!$F$8&lt;'Your debts'!$F$11),R306,0)+IF(AND('Your debts'!$F$9&lt;&gt;"",'Your debts'!$F$11&lt;&gt;"",'Your debts'!$F$9&lt;'Your debts'!$F$11),W306,0)+IF(AND('Your debts'!$F$10&lt;&gt;"",'Your debts'!$F$11&lt;&gt;"",'Your debts'!$F$10&lt;'Your debts'!$F$11),AB306,0)+IF(AND('Your debts'!$F$12&lt;&gt;"",'Your debts'!$F$11&lt;&gt;"",'Your debts'!$F$12&lt;'Your debts'!$F$11),AL306,0)+IF(AND('Your debts'!$F$13&lt;&gt;"",'Your debts'!$F$11&lt;&gt;"",'Your debts'!$F$13&lt;'Your debts'!$F$11),AQ306,0)+IF(AND('Your debts'!$F$14&lt;&gt;"",'Your debts'!$F$11&lt;&gt;"",'Your debts'!$F$14&lt;'Your debts'!$F$11),AV306,0)+IF(AND('Your debts'!$F$15&lt;&gt;"",'Your debts'!$F$11&lt;&gt;"",'Your debts'!$F$15&lt;'Your debts'!$F$11),BA306,0)))))</f>
        <v/>
      </c>
      <c r="AI306" s="33">
        <f>AG306-AH306</f>
        <v/>
      </c>
      <c r="AJ306" s="33">
        <f>IF(AN305&lt;=0,0,ROUND(AN305*(1+'Your debts'!$D$12/1200),2))</f>
        <v/>
      </c>
      <c r="AK306" s="33">
        <f>IF(AJ306&lt;=0,0,MIN('Your debts'!$E$12,AJ306))</f>
        <v/>
      </c>
      <c r="AL306" s="33">
        <f>AJ306-AK306</f>
        <v/>
      </c>
      <c r="AM306" s="33">
        <f>IF('Your debts'!$F$12="",0,MIN(AL306,MAX(0,MAX(0,'Your debts'!$C$19-(G306+L306+Q306+V306+AA306+AF306+AK306+AP306+AU306+AZ306))-(IF(AND('Your debts'!$F$6&lt;&gt;"",'Your debts'!$F$12&lt;&gt;"",'Your debts'!$F$6&lt;'Your debts'!$F$12),H306,0)+IF(AND('Your debts'!$F$7&lt;&gt;"",'Your debts'!$F$12&lt;&gt;"",'Your debts'!$F$7&lt;'Your debts'!$F$12),M306,0)+IF(AND('Your debts'!$F$8&lt;&gt;"",'Your debts'!$F$12&lt;&gt;"",'Your debts'!$F$8&lt;'Your debts'!$F$12),R306,0)+IF(AND('Your debts'!$F$9&lt;&gt;"",'Your debts'!$F$12&lt;&gt;"",'Your debts'!$F$9&lt;'Your debts'!$F$12),W306,0)+IF(AND('Your debts'!$F$10&lt;&gt;"",'Your debts'!$F$12&lt;&gt;"",'Your debts'!$F$10&lt;'Your debts'!$F$12),AB306,0)+IF(AND('Your debts'!$F$11&lt;&gt;"",'Your debts'!$F$12&lt;&gt;"",'Your debts'!$F$11&lt;'Your debts'!$F$12),AG306,0)+IF(AND('Your debts'!$F$13&lt;&gt;"",'Your debts'!$F$12&lt;&gt;"",'Your debts'!$F$13&lt;'Your debts'!$F$12),AQ306,0)+IF(AND('Your debts'!$F$14&lt;&gt;"",'Your debts'!$F$12&lt;&gt;"",'Your debts'!$F$14&lt;'Your debts'!$F$12),AV306,0)+IF(AND('Your debts'!$F$15&lt;&gt;"",'Your debts'!$F$12&lt;&gt;"",'Your debts'!$F$15&lt;'Your debts'!$F$12),BA306,0)))))</f>
        <v/>
      </c>
      <c r="AN306" s="33">
        <f>AL306-AM306</f>
        <v/>
      </c>
      <c r="AO306" s="33">
        <f>IF(AS305&lt;=0,0,ROUND(AS305*(1+'Your debts'!$D$13/1200),2))</f>
        <v/>
      </c>
      <c r="AP306" s="33">
        <f>IF(AO306&lt;=0,0,MIN('Your debts'!$E$13,AO306))</f>
        <v/>
      </c>
      <c r="AQ306" s="33">
        <f>AO306-AP306</f>
        <v/>
      </c>
      <c r="AR306" s="33">
        <f>IF('Your debts'!$F$13="",0,MIN(AQ306,MAX(0,MAX(0,'Your debts'!$C$19-(G306+L306+Q306+V306+AA306+AF306+AK306+AP306+AU306+AZ306))-(IF(AND('Your debts'!$F$6&lt;&gt;"",'Your debts'!$F$13&lt;&gt;"",'Your debts'!$F$6&lt;'Your debts'!$F$13),H306,0)+IF(AND('Your debts'!$F$7&lt;&gt;"",'Your debts'!$F$13&lt;&gt;"",'Your debts'!$F$7&lt;'Your debts'!$F$13),M306,0)+IF(AND('Your debts'!$F$8&lt;&gt;"",'Your debts'!$F$13&lt;&gt;"",'Your debts'!$F$8&lt;'Your debts'!$F$13),R306,0)+IF(AND('Your debts'!$F$9&lt;&gt;"",'Your debts'!$F$13&lt;&gt;"",'Your debts'!$F$9&lt;'Your debts'!$F$13),W306,0)+IF(AND('Your debts'!$F$10&lt;&gt;"",'Your debts'!$F$13&lt;&gt;"",'Your debts'!$F$10&lt;'Your debts'!$F$13),AB306,0)+IF(AND('Your debts'!$F$11&lt;&gt;"",'Your debts'!$F$13&lt;&gt;"",'Your debts'!$F$11&lt;'Your debts'!$F$13),AG306,0)+IF(AND('Your debts'!$F$12&lt;&gt;"",'Your debts'!$F$13&lt;&gt;"",'Your debts'!$F$12&lt;'Your debts'!$F$13),AL306,0)+IF(AND('Your debts'!$F$14&lt;&gt;"",'Your debts'!$F$13&lt;&gt;"",'Your debts'!$F$14&lt;'Your debts'!$F$13),AV306,0)+IF(AND('Your debts'!$F$15&lt;&gt;"",'Your debts'!$F$13&lt;&gt;"",'Your debts'!$F$15&lt;'Your debts'!$F$13),BA306,0)))))</f>
        <v/>
      </c>
      <c r="AS306" s="33">
        <f>AQ306-AR306</f>
        <v/>
      </c>
      <c r="AT306" s="33">
        <f>IF(AX305&lt;=0,0,ROUND(AX305*(1+'Your debts'!$D$14/1200),2))</f>
        <v/>
      </c>
      <c r="AU306" s="33">
        <f>IF(AT306&lt;=0,0,MIN('Your debts'!$E$14,AT306))</f>
        <v/>
      </c>
      <c r="AV306" s="33">
        <f>AT306-AU306</f>
        <v/>
      </c>
      <c r="AW306" s="33">
        <f>IF('Your debts'!$F$14="",0,MIN(AV306,MAX(0,MAX(0,'Your debts'!$C$19-(G306+L306+Q306+V306+AA306+AF306+AK306+AP306+AU306+AZ306))-(IF(AND('Your debts'!$F$6&lt;&gt;"",'Your debts'!$F$14&lt;&gt;"",'Your debts'!$F$6&lt;'Your debts'!$F$14),H306,0)+IF(AND('Your debts'!$F$7&lt;&gt;"",'Your debts'!$F$14&lt;&gt;"",'Your debts'!$F$7&lt;'Your debts'!$F$14),M306,0)+IF(AND('Your debts'!$F$8&lt;&gt;"",'Your debts'!$F$14&lt;&gt;"",'Your debts'!$F$8&lt;'Your debts'!$F$14),R306,0)+IF(AND('Your debts'!$F$9&lt;&gt;"",'Your debts'!$F$14&lt;&gt;"",'Your debts'!$F$9&lt;'Your debts'!$F$14),W306,0)+IF(AND('Your debts'!$F$10&lt;&gt;"",'Your debts'!$F$14&lt;&gt;"",'Your debts'!$F$10&lt;'Your debts'!$F$14),AB306,0)+IF(AND('Your debts'!$F$11&lt;&gt;"",'Your debts'!$F$14&lt;&gt;"",'Your debts'!$F$11&lt;'Your debts'!$F$14),AG306,0)+IF(AND('Your debts'!$F$12&lt;&gt;"",'Your debts'!$F$14&lt;&gt;"",'Your debts'!$F$12&lt;'Your debts'!$F$14),AL306,0)+IF(AND('Your debts'!$F$13&lt;&gt;"",'Your debts'!$F$14&lt;&gt;"",'Your debts'!$F$13&lt;'Your debts'!$F$14),AQ306,0)+IF(AND('Your debts'!$F$15&lt;&gt;"",'Your debts'!$F$14&lt;&gt;"",'Your debts'!$F$15&lt;'Your debts'!$F$14),BA306,0)))))</f>
        <v/>
      </c>
      <c r="AX306" s="33">
        <f>AV306-AW306</f>
        <v/>
      </c>
      <c r="AY306" s="33">
        <f>IF(BC305&lt;=0,0,ROUND(BC305*(1+'Your debts'!$D$15/1200),2))</f>
        <v/>
      </c>
      <c r="AZ306" s="33">
        <f>IF(AY306&lt;=0,0,MIN('Your debts'!$E$15,AY306))</f>
        <v/>
      </c>
      <c r="BA306" s="33">
        <f>AY306-AZ306</f>
        <v/>
      </c>
      <c r="BB306" s="33">
        <f>IF('Your debts'!$F$15="",0,MIN(BA306,MAX(0,MAX(0,'Your debts'!$C$19-(G306+L306+Q306+V306+AA306+AF306+AK306+AP306+AU306+AZ306))-(IF(AND('Your debts'!$F$6&lt;&gt;"",'Your debts'!$F$15&lt;&gt;"",'Your debts'!$F$6&lt;'Your debts'!$F$15),H306,0)+IF(AND('Your debts'!$F$7&lt;&gt;"",'Your debts'!$F$15&lt;&gt;"",'Your debts'!$F$7&lt;'Your debts'!$F$15),M306,0)+IF(AND('Your debts'!$F$8&lt;&gt;"",'Your debts'!$F$15&lt;&gt;"",'Your debts'!$F$8&lt;'Your debts'!$F$15),R306,0)+IF(AND('Your debts'!$F$9&lt;&gt;"",'Your debts'!$F$15&lt;&gt;"",'Your debts'!$F$9&lt;'Your debts'!$F$15),W306,0)+IF(AND('Your debts'!$F$10&lt;&gt;"",'Your debts'!$F$15&lt;&gt;"",'Your debts'!$F$10&lt;'Your debts'!$F$15),AB306,0)+IF(AND('Your debts'!$F$11&lt;&gt;"",'Your debts'!$F$15&lt;&gt;"",'Your debts'!$F$11&lt;'Your debts'!$F$15),AG306,0)+IF(AND('Your debts'!$F$12&lt;&gt;"",'Your debts'!$F$15&lt;&gt;"",'Your debts'!$F$12&lt;'Your debts'!$F$15),AL306,0)+IF(AND('Your debts'!$F$13&lt;&gt;"",'Your debts'!$F$15&lt;&gt;"",'Your debts'!$F$13&lt;'Your debts'!$F$15),AQ306,0)+IF(AND('Your debts'!$F$14&lt;&gt;"",'Your debts'!$F$15&lt;&gt;"",'Your debts'!$F$14&lt;'Your debts'!$F$15),AV306,0)))))</f>
        <v/>
      </c>
      <c r="BC306" s="33">
        <f>BA306-BB306</f>
        <v/>
      </c>
    </row>
    <row r="307">
      <c r="A307" s="30" t="n">
        <v>292</v>
      </c>
      <c r="B307" s="31">
        <f>EDATE($B$15,292)</f>
        <v/>
      </c>
      <c r="C307" s="32">
        <f>IF(J306&lt;=0,0,F307-J306)+IF(O306&lt;=0,0,K307-O306)+IF(T306&lt;=0,0,P307-T306)+IF(Y306&lt;=0,0,U307-Y306)+IF(AD306&lt;=0,0,Z307-AD306)+IF(AI306&lt;=0,0,AE307-AI306)+IF(AN306&lt;=0,0,AJ307-AN306)+IF(AS306&lt;=0,0,AO307-AS306)+IF(AX306&lt;=0,0,AT307-AX306)+IF(BC306&lt;=0,0,AY307-BC306)</f>
        <v/>
      </c>
      <c r="D307" s="32">
        <f>G307+I307+L307+N307+Q307+S307+V307+X307+AA307+AC307+AF307+AH307+AK307+AM307+AP307+AR307+AU307+AW307+AZ307+BB307</f>
        <v/>
      </c>
      <c r="E307" s="32">
        <f>J307+O307+T307+Y307+AD307+AI307+AN307+AS307+AX307+BC307</f>
        <v/>
      </c>
      <c r="F307" s="33">
        <f>IF(J306&lt;=0,0,ROUND(J306*(1+'Your debts'!$D$6/1200),2))</f>
        <v/>
      </c>
      <c r="G307" s="33">
        <f>IF(F307&lt;=0,0,MIN('Your debts'!$E$6,F307))</f>
        <v/>
      </c>
      <c r="H307" s="33">
        <f>F307-G307</f>
        <v/>
      </c>
      <c r="I307" s="33">
        <f>IF('Your debts'!$F$6="",0,MIN(H307,MAX(0,MAX(0,'Your debts'!$C$19-(G307+L307+Q307+V307+AA307+AF307+AK307+AP307+AU307+AZ307))-(IF(AND('Your debts'!$F$7&lt;&gt;"",'Your debts'!$F$6&lt;&gt;"",'Your debts'!$F$7&lt;'Your debts'!$F$6),M307,0)+IF(AND('Your debts'!$F$8&lt;&gt;"",'Your debts'!$F$6&lt;&gt;"",'Your debts'!$F$8&lt;'Your debts'!$F$6),R307,0)+IF(AND('Your debts'!$F$9&lt;&gt;"",'Your debts'!$F$6&lt;&gt;"",'Your debts'!$F$9&lt;'Your debts'!$F$6),W307,0)+IF(AND('Your debts'!$F$10&lt;&gt;"",'Your debts'!$F$6&lt;&gt;"",'Your debts'!$F$10&lt;'Your debts'!$F$6),AB307,0)+IF(AND('Your debts'!$F$11&lt;&gt;"",'Your debts'!$F$6&lt;&gt;"",'Your debts'!$F$11&lt;'Your debts'!$F$6),AG307,0)+IF(AND('Your debts'!$F$12&lt;&gt;"",'Your debts'!$F$6&lt;&gt;"",'Your debts'!$F$12&lt;'Your debts'!$F$6),AL307,0)+IF(AND('Your debts'!$F$13&lt;&gt;"",'Your debts'!$F$6&lt;&gt;"",'Your debts'!$F$13&lt;'Your debts'!$F$6),AQ307,0)+IF(AND('Your debts'!$F$14&lt;&gt;"",'Your debts'!$F$6&lt;&gt;"",'Your debts'!$F$14&lt;'Your debts'!$F$6),AV307,0)+IF(AND('Your debts'!$F$15&lt;&gt;"",'Your debts'!$F$6&lt;&gt;"",'Your debts'!$F$15&lt;'Your debts'!$F$6),BA307,0)))))</f>
        <v/>
      </c>
      <c r="J307" s="33">
        <f>H307-I307</f>
        <v/>
      </c>
      <c r="K307" s="33">
        <f>IF(O306&lt;=0,0,ROUND(O306*(1+'Your debts'!$D$7/1200),2))</f>
        <v/>
      </c>
      <c r="L307" s="33">
        <f>IF(K307&lt;=0,0,MIN('Your debts'!$E$7,K307))</f>
        <v/>
      </c>
      <c r="M307" s="33">
        <f>K307-L307</f>
        <v/>
      </c>
      <c r="N307" s="33">
        <f>IF('Your debts'!$F$7="",0,MIN(M307,MAX(0,MAX(0,'Your debts'!$C$19-(G307+L307+Q307+V307+AA307+AF307+AK307+AP307+AU307+AZ307))-(IF(AND('Your debts'!$F$6&lt;&gt;"",'Your debts'!$F$7&lt;&gt;"",'Your debts'!$F$6&lt;'Your debts'!$F$7),H307,0)+IF(AND('Your debts'!$F$8&lt;&gt;"",'Your debts'!$F$7&lt;&gt;"",'Your debts'!$F$8&lt;'Your debts'!$F$7),R307,0)+IF(AND('Your debts'!$F$9&lt;&gt;"",'Your debts'!$F$7&lt;&gt;"",'Your debts'!$F$9&lt;'Your debts'!$F$7),W307,0)+IF(AND('Your debts'!$F$10&lt;&gt;"",'Your debts'!$F$7&lt;&gt;"",'Your debts'!$F$10&lt;'Your debts'!$F$7),AB307,0)+IF(AND('Your debts'!$F$11&lt;&gt;"",'Your debts'!$F$7&lt;&gt;"",'Your debts'!$F$11&lt;'Your debts'!$F$7),AG307,0)+IF(AND('Your debts'!$F$12&lt;&gt;"",'Your debts'!$F$7&lt;&gt;"",'Your debts'!$F$12&lt;'Your debts'!$F$7),AL307,0)+IF(AND('Your debts'!$F$13&lt;&gt;"",'Your debts'!$F$7&lt;&gt;"",'Your debts'!$F$13&lt;'Your debts'!$F$7),AQ307,0)+IF(AND('Your debts'!$F$14&lt;&gt;"",'Your debts'!$F$7&lt;&gt;"",'Your debts'!$F$14&lt;'Your debts'!$F$7),AV307,0)+IF(AND('Your debts'!$F$15&lt;&gt;"",'Your debts'!$F$7&lt;&gt;"",'Your debts'!$F$15&lt;'Your debts'!$F$7),BA307,0)))))</f>
        <v/>
      </c>
      <c r="O307" s="33">
        <f>M307-N307</f>
        <v/>
      </c>
      <c r="P307" s="33">
        <f>IF(T306&lt;=0,0,ROUND(T306*(1+'Your debts'!$D$8/1200),2))</f>
        <v/>
      </c>
      <c r="Q307" s="33">
        <f>IF(P307&lt;=0,0,MIN('Your debts'!$E$8,P307))</f>
        <v/>
      </c>
      <c r="R307" s="33">
        <f>P307-Q307</f>
        <v/>
      </c>
      <c r="S307" s="33">
        <f>IF('Your debts'!$F$8="",0,MIN(R307,MAX(0,MAX(0,'Your debts'!$C$19-(G307+L307+Q307+V307+AA307+AF307+AK307+AP307+AU307+AZ307))-(IF(AND('Your debts'!$F$6&lt;&gt;"",'Your debts'!$F$8&lt;&gt;"",'Your debts'!$F$6&lt;'Your debts'!$F$8),H307,0)+IF(AND('Your debts'!$F$7&lt;&gt;"",'Your debts'!$F$8&lt;&gt;"",'Your debts'!$F$7&lt;'Your debts'!$F$8),M307,0)+IF(AND('Your debts'!$F$9&lt;&gt;"",'Your debts'!$F$8&lt;&gt;"",'Your debts'!$F$9&lt;'Your debts'!$F$8),W307,0)+IF(AND('Your debts'!$F$10&lt;&gt;"",'Your debts'!$F$8&lt;&gt;"",'Your debts'!$F$10&lt;'Your debts'!$F$8),AB307,0)+IF(AND('Your debts'!$F$11&lt;&gt;"",'Your debts'!$F$8&lt;&gt;"",'Your debts'!$F$11&lt;'Your debts'!$F$8),AG307,0)+IF(AND('Your debts'!$F$12&lt;&gt;"",'Your debts'!$F$8&lt;&gt;"",'Your debts'!$F$12&lt;'Your debts'!$F$8),AL307,0)+IF(AND('Your debts'!$F$13&lt;&gt;"",'Your debts'!$F$8&lt;&gt;"",'Your debts'!$F$13&lt;'Your debts'!$F$8),AQ307,0)+IF(AND('Your debts'!$F$14&lt;&gt;"",'Your debts'!$F$8&lt;&gt;"",'Your debts'!$F$14&lt;'Your debts'!$F$8),AV307,0)+IF(AND('Your debts'!$F$15&lt;&gt;"",'Your debts'!$F$8&lt;&gt;"",'Your debts'!$F$15&lt;'Your debts'!$F$8),BA307,0)))))</f>
        <v/>
      </c>
      <c r="T307" s="33">
        <f>R307-S307</f>
        <v/>
      </c>
      <c r="U307" s="33">
        <f>IF(Y306&lt;=0,0,ROUND(Y306*(1+'Your debts'!$D$9/1200),2))</f>
        <v/>
      </c>
      <c r="V307" s="33">
        <f>IF(U307&lt;=0,0,MIN('Your debts'!$E$9,U307))</f>
        <v/>
      </c>
      <c r="W307" s="33">
        <f>U307-V307</f>
        <v/>
      </c>
      <c r="X307" s="33">
        <f>IF('Your debts'!$F$9="",0,MIN(W307,MAX(0,MAX(0,'Your debts'!$C$19-(G307+L307+Q307+V307+AA307+AF307+AK307+AP307+AU307+AZ307))-(IF(AND('Your debts'!$F$6&lt;&gt;"",'Your debts'!$F$9&lt;&gt;"",'Your debts'!$F$6&lt;'Your debts'!$F$9),H307,0)+IF(AND('Your debts'!$F$7&lt;&gt;"",'Your debts'!$F$9&lt;&gt;"",'Your debts'!$F$7&lt;'Your debts'!$F$9),M307,0)+IF(AND('Your debts'!$F$8&lt;&gt;"",'Your debts'!$F$9&lt;&gt;"",'Your debts'!$F$8&lt;'Your debts'!$F$9),R307,0)+IF(AND('Your debts'!$F$10&lt;&gt;"",'Your debts'!$F$9&lt;&gt;"",'Your debts'!$F$10&lt;'Your debts'!$F$9),AB307,0)+IF(AND('Your debts'!$F$11&lt;&gt;"",'Your debts'!$F$9&lt;&gt;"",'Your debts'!$F$11&lt;'Your debts'!$F$9),AG307,0)+IF(AND('Your debts'!$F$12&lt;&gt;"",'Your debts'!$F$9&lt;&gt;"",'Your debts'!$F$12&lt;'Your debts'!$F$9),AL307,0)+IF(AND('Your debts'!$F$13&lt;&gt;"",'Your debts'!$F$9&lt;&gt;"",'Your debts'!$F$13&lt;'Your debts'!$F$9),AQ307,0)+IF(AND('Your debts'!$F$14&lt;&gt;"",'Your debts'!$F$9&lt;&gt;"",'Your debts'!$F$14&lt;'Your debts'!$F$9),AV307,0)+IF(AND('Your debts'!$F$15&lt;&gt;"",'Your debts'!$F$9&lt;&gt;"",'Your debts'!$F$15&lt;'Your debts'!$F$9),BA307,0)))))</f>
        <v/>
      </c>
      <c r="Y307" s="33">
        <f>W307-X307</f>
        <v/>
      </c>
      <c r="Z307" s="33">
        <f>IF(AD306&lt;=0,0,ROUND(AD306*(1+'Your debts'!$D$10/1200),2))</f>
        <v/>
      </c>
      <c r="AA307" s="33">
        <f>IF(Z307&lt;=0,0,MIN('Your debts'!$E$10,Z307))</f>
        <v/>
      </c>
      <c r="AB307" s="33">
        <f>Z307-AA307</f>
        <v/>
      </c>
      <c r="AC307" s="33">
        <f>IF('Your debts'!$F$10="",0,MIN(AB307,MAX(0,MAX(0,'Your debts'!$C$19-(G307+L307+Q307+V307+AA307+AF307+AK307+AP307+AU307+AZ307))-(IF(AND('Your debts'!$F$6&lt;&gt;"",'Your debts'!$F$10&lt;&gt;"",'Your debts'!$F$6&lt;'Your debts'!$F$10),H307,0)+IF(AND('Your debts'!$F$7&lt;&gt;"",'Your debts'!$F$10&lt;&gt;"",'Your debts'!$F$7&lt;'Your debts'!$F$10),M307,0)+IF(AND('Your debts'!$F$8&lt;&gt;"",'Your debts'!$F$10&lt;&gt;"",'Your debts'!$F$8&lt;'Your debts'!$F$10),R307,0)+IF(AND('Your debts'!$F$9&lt;&gt;"",'Your debts'!$F$10&lt;&gt;"",'Your debts'!$F$9&lt;'Your debts'!$F$10),W307,0)+IF(AND('Your debts'!$F$11&lt;&gt;"",'Your debts'!$F$10&lt;&gt;"",'Your debts'!$F$11&lt;'Your debts'!$F$10),AG307,0)+IF(AND('Your debts'!$F$12&lt;&gt;"",'Your debts'!$F$10&lt;&gt;"",'Your debts'!$F$12&lt;'Your debts'!$F$10),AL307,0)+IF(AND('Your debts'!$F$13&lt;&gt;"",'Your debts'!$F$10&lt;&gt;"",'Your debts'!$F$13&lt;'Your debts'!$F$10),AQ307,0)+IF(AND('Your debts'!$F$14&lt;&gt;"",'Your debts'!$F$10&lt;&gt;"",'Your debts'!$F$14&lt;'Your debts'!$F$10),AV307,0)+IF(AND('Your debts'!$F$15&lt;&gt;"",'Your debts'!$F$10&lt;&gt;"",'Your debts'!$F$15&lt;'Your debts'!$F$10),BA307,0)))))</f>
        <v/>
      </c>
      <c r="AD307" s="33">
        <f>AB307-AC307</f>
        <v/>
      </c>
      <c r="AE307" s="33">
        <f>IF(AI306&lt;=0,0,ROUND(AI306*(1+'Your debts'!$D$11/1200),2))</f>
        <v/>
      </c>
      <c r="AF307" s="33">
        <f>IF(AE307&lt;=0,0,MIN('Your debts'!$E$11,AE307))</f>
        <v/>
      </c>
      <c r="AG307" s="33">
        <f>AE307-AF307</f>
        <v/>
      </c>
      <c r="AH307" s="33">
        <f>IF('Your debts'!$F$11="",0,MIN(AG307,MAX(0,MAX(0,'Your debts'!$C$19-(G307+L307+Q307+V307+AA307+AF307+AK307+AP307+AU307+AZ307))-(IF(AND('Your debts'!$F$6&lt;&gt;"",'Your debts'!$F$11&lt;&gt;"",'Your debts'!$F$6&lt;'Your debts'!$F$11),H307,0)+IF(AND('Your debts'!$F$7&lt;&gt;"",'Your debts'!$F$11&lt;&gt;"",'Your debts'!$F$7&lt;'Your debts'!$F$11),M307,0)+IF(AND('Your debts'!$F$8&lt;&gt;"",'Your debts'!$F$11&lt;&gt;"",'Your debts'!$F$8&lt;'Your debts'!$F$11),R307,0)+IF(AND('Your debts'!$F$9&lt;&gt;"",'Your debts'!$F$11&lt;&gt;"",'Your debts'!$F$9&lt;'Your debts'!$F$11),W307,0)+IF(AND('Your debts'!$F$10&lt;&gt;"",'Your debts'!$F$11&lt;&gt;"",'Your debts'!$F$10&lt;'Your debts'!$F$11),AB307,0)+IF(AND('Your debts'!$F$12&lt;&gt;"",'Your debts'!$F$11&lt;&gt;"",'Your debts'!$F$12&lt;'Your debts'!$F$11),AL307,0)+IF(AND('Your debts'!$F$13&lt;&gt;"",'Your debts'!$F$11&lt;&gt;"",'Your debts'!$F$13&lt;'Your debts'!$F$11),AQ307,0)+IF(AND('Your debts'!$F$14&lt;&gt;"",'Your debts'!$F$11&lt;&gt;"",'Your debts'!$F$14&lt;'Your debts'!$F$11),AV307,0)+IF(AND('Your debts'!$F$15&lt;&gt;"",'Your debts'!$F$11&lt;&gt;"",'Your debts'!$F$15&lt;'Your debts'!$F$11),BA307,0)))))</f>
        <v/>
      </c>
      <c r="AI307" s="33">
        <f>AG307-AH307</f>
        <v/>
      </c>
      <c r="AJ307" s="33">
        <f>IF(AN306&lt;=0,0,ROUND(AN306*(1+'Your debts'!$D$12/1200),2))</f>
        <v/>
      </c>
      <c r="AK307" s="33">
        <f>IF(AJ307&lt;=0,0,MIN('Your debts'!$E$12,AJ307))</f>
        <v/>
      </c>
      <c r="AL307" s="33">
        <f>AJ307-AK307</f>
        <v/>
      </c>
      <c r="AM307" s="33">
        <f>IF('Your debts'!$F$12="",0,MIN(AL307,MAX(0,MAX(0,'Your debts'!$C$19-(G307+L307+Q307+V307+AA307+AF307+AK307+AP307+AU307+AZ307))-(IF(AND('Your debts'!$F$6&lt;&gt;"",'Your debts'!$F$12&lt;&gt;"",'Your debts'!$F$6&lt;'Your debts'!$F$12),H307,0)+IF(AND('Your debts'!$F$7&lt;&gt;"",'Your debts'!$F$12&lt;&gt;"",'Your debts'!$F$7&lt;'Your debts'!$F$12),M307,0)+IF(AND('Your debts'!$F$8&lt;&gt;"",'Your debts'!$F$12&lt;&gt;"",'Your debts'!$F$8&lt;'Your debts'!$F$12),R307,0)+IF(AND('Your debts'!$F$9&lt;&gt;"",'Your debts'!$F$12&lt;&gt;"",'Your debts'!$F$9&lt;'Your debts'!$F$12),W307,0)+IF(AND('Your debts'!$F$10&lt;&gt;"",'Your debts'!$F$12&lt;&gt;"",'Your debts'!$F$10&lt;'Your debts'!$F$12),AB307,0)+IF(AND('Your debts'!$F$11&lt;&gt;"",'Your debts'!$F$12&lt;&gt;"",'Your debts'!$F$11&lt;'Your debts'!$F$12),AG307,0)+IF(AND('Your debts'!$F$13&lt;&gt;"",'Your debts'!$F$12&lt;&gt;"",'Your debts'!$F$13&lt;'Your debts'!$F$12),AQ307,0)+IF(AND('Your debts'!$F$14&lt;&gt;"",'Your debts'!$F$12&lt;&gt;"",'Your debts'!$F$14&lt;'Your debts'!$F$12),AV307,0)+IF(AND('Your debts'!$F$15&lt;&gt;"",'Your debts'!$F$12&lt;&gt;"",'Your debts'!$F$15&lt;'Your debts'!$F$12),BA307,0)))))</f>
        <v/>
      </c>
      <c r="AN307" s="33">
        <f>AL307-AM307</f>
        <v/>
      </c>
      <c r="AO307" s="33">
        <f>IF(AS306&lt;=0,0,ROUND(AS306*(1+'Your debts'!$D$13/1200),2))</f>
        <v/>
      </c>
      <c r="AP307" s="33">
        <f>IF(AO307&lt;=0,0,MIN('Your debts'!$E$13,AO307))</f>
        <v/>
      </c>
      <c r="AQ307" s="33">
        <f>AO307-AP307</f>
        <v/>
      </c>
      <c r="AR307" s="33">
        <f>IF('Your debts'!$F$13="",0,MIN(AQ307,MAX(0,MAX(0,'Your debts'!$C$19-(G307+L307+Q307+V307+AA307+AF307+AK307+AP307+AU307+AZ307))-(IF(AND('Your debts'!$F$6&lt;&gt;"",'Your debts'!$F$13&lt;&gt;"",'Your debts'!$F$6&lt;'Your debts'!$F$13),H307,0)+IF(AND('Your debts'!$F$7&lt;&gt;"",'Your debts'!$F$13&lt;&gt;"",'Your debts'!$F$7&lt;'Your debts'!$F$13),M307,0)+IF(AND('Your debts'!$F$8&lt;&gt;"",'Your debts'!$F$13&lt;&gt;"",'Your debts'!$F$8&lt;'Your debts'!$F$13),R307,0)+IF(AND('Your debts'!$F$9&lt;&gt;"",'Your debts'!$F$13&lt;&gt;"",'Your debts'!$F$9&lt;'Your debts'!$F$13),W307,0)+IF(AND('Your debts'!$F$10&lt;&gt;"",'Your debts'!$F$13&lt;&gt;"",'Your debts'!$F$10&lt;'Your debts'!$F$13),AB307,0)+IF(AND('Your debts'!$F$11&lt;&gt;"",'Your debts'!$F$13&lt;&gt;"",'Your debts'!$F$11&lt;'Your debts'!$F$13),AG307,0)+IF(AND('Your debts'!$F$12&lt;&gt;"",'Your debts'!$F$13&lt;&gt;"",'Your debts'!$F$12&lt;'Your debts'!$F$13),AL307,0)+IF(AND('Your debts'!$F$14&lt;&gt;"",'Your debts'!$F$13&lt;&gt;"",'Your debts'!$F$14&lt;'Your debts'!$F$13),AV307,0)+IF(AND('Your debts'!$F$15&lt;&gt;"",'Your debts'!$F$13&lt;&gt;"",'Your debts'!$F$15&lt;'Your debts'!$F$13),BA307,0)))))</f>
        <v/>
      </c>
      <c r="AS307" s="33">
        <f>AQ307-AR307</f>
        <v/>
      </c>
      <c r="AT307" s="33">
        <f>IF(AX306&lt;=0,0,ROUND(AX306*(1+'Your debts'!$D$14/1200),2))</f>
        <v/>
      </c>
      <c r="AU307" s="33">
        <f>IF(AT307&lt;=0,0,MIN('Your debts'!$E$14,AT307))</f>
        <v/>
      </c>
      <c r="AV307" s="33">
        <f>AT307-AU307</f>
        <v/>
      </c>
      <c r="AW307" s="33">
        <f>IF('Your debts'!$F$14="",0,MIN(AV307,MAX(0,MAX(0,'Your debts'!$C$19-(G307+L307+Q307+V307+AA307+AF307+AK307+AP307+AU307+AZ307))-(IF(AND('Your debts'!$F$6&lt;&gt;"",'Your debts'!$F$14&lt;&gt;"",'Your debts'!$F$6&lt;'Your debts'!$F$14),H307,0)+IF(AND('Your debts'!$F$7&lt;&gt;"",'Your debts'!$F$14&lt;&gt;"",'Your debts'!$F$7&lt;'Your debts'!$F$14),M307,0)+IF(AND('Your debts'!$F$8&lt;&gt;"",'Your debts'!$F$14&lt;&gt;"",'Your debts'!$F$8&lt;'Your debts'!$F$14),R307,0)+IF(AND('Your debts'!$F$9&lt;&gt;"",'Your debts'!$F$14&lt;&gt;"",'Your debts'!$F$9&lt;'Your debts'!$F$14),W307,0)+IF(AND('Your debts'!$F$10&lt;&gt;"",'Your debts'!$F$14&lt;&gt;"",'Your debts'!$F$10&lt;'Your debts'!$F$14),AB307,0)+IF(AND('Your debts'!$F$11&lt;&gt;"",'Your debts'!$F$14&lt;&gt;"",'Your debts'!$F$11&lt;'Your debts'!$F$14),AG307,0)+IF(AND('Your debts'!$F$12&lt;&gt;"",'Your debts'!$F$14&lt;&gt;"",'Your debts'!$F$12&lt;'Your debts'!$F$14),AL307,0)+IF(AND('Your debts'!$F$13&lt;&gt;"",'Your debts'!$F$14&lt;&gt;"",'Your debts'!$F$13&lt;'Your debts'!$F$14),AQ307,0)+IF(AND('Your debts'!$F$15&lt;&gt;"",'Your debts'!$F$14&lt;&gt;"",'Your debts'!$F$15&lt;'Your debts'!$F$14),BA307,0)))))</f>
        <v/>
      </c>
      <c r="AX307" s="33">
        <f>AV307-AW307</f>
        <v/>
      </c>
      <c r="AY307" s="33">
        <f>IF(BC306&lt;=0,0,ROUND(BC306*(1+'Your debts'!$D$15/1200),2))</f>
        <v/>
      </c>
      <c r="AZ307" s="33">
        <f>IF(AY307&lt;=0,0,MIN('Your debts'!$E$15,AY307))</f>
        <v/>
      </c>
      <c r="BA307" s="33">
        <f>AY307-AZ307</f>
        <v/>
      </c>
      <c r="BB307" s="33">
        <f>IF('Your debts'!$F$15="",0,MIN(BA307,MAX(0,MAX(0,'Your debts'!$C$19-(G307+L307+Q307+V307+AA307+AF307+AK307+AP307+AU307+AZ307))-(IF(AND('Your debts'!$F$6&lt;&gt;"",'Your debts'!$F$15&lt;&gt;"",'Your debts'!$F$6&lt;'Your debts'!$F$15),H307,0)+IF(AND('Your debts'!$F$7&lt;&gt;"",'Your debts'!$F$15&lt;&gt;"",'Your debts'!$F$7&lt;'Your debts'!$F$15),M307,0)+IF(AND('Your debts'!$F$8&lt;&gt;"",'Your debts'!$F$15&lt;&gt;"",'Your debts'!$F$8&lt;'Your debts'!$F$15),R307,0)+IF(AND('Your debts'!$F$9&lt;&gt;"",'Your debts'!$F$15&lt;&gt;"",'Your debts'!$F$9&lt;'Your debts'!$F$15),W307,0)+IF(AND('Your debts'!$F$10&lt;&gt;"",'Your debts'!$F$15&lt;&gt;"",'Your debts'!$F$10&lt;'Your debts'!$F$15),AB307,0)+IF(AND('Your debts'!$F$11&lt;&gt;"",'Your debts'!$F$15&lt;&gt;"",'Your debts'!$F$11&lt;'Your debts'!$F$15),AG307,0)+IF(AND('Your debts'!$F$12&lt;&gt;"",'Your debts'!$F$15&lt;&gt;"",'Your debts'!$F$12&lt;'Your debts'!$F$15),AL307,0)+IF(AND('Your debts'!$F$13&lt;&gt;"",'Your debts'!$F$15&lt;&gt;"",'Your debts'!$F$13&lt;'Your debts'!$F$15),AQ307,0)+IF(AND('Your debts'!$F$14&lt;&gt;"",'Your debts'!$F$15&lt;&gt;"",'Your debts'!$F$14&lt;'Your debts'!$F$15),AV307,0)))))</f>
        <v/>
      </c>
      <c r="BC307" s="33">
        <f>BA307-BB307</f>
        <v/>
      </c>
    </row>
    <row r="308">
      <c r="A308" s="30" t="n">
        <v>293</v>
      </c>
      <c r="B308" s="31">
        <f>EDATE($B$15,293)</f>
        <v/>
      </c>
      <c r="C308" s="32">
        <f>IF(J307&lt;=0,0,F308-J307)+IF(O307&lt;=0,0,K308-O307)+IF(T307&lt;=0,0,P308-T307)+IF(Y307&lt;=0,0,U308-Y307)+IF(AD307&lt;=0,0,Z308-AD307)+IF(AI307&lt;=0,0,AE308-AI307)+IF(AN307&lt;=0,0,AJ308-AN307)+IF(AS307&lt;=0,0,AO308-AS307)+IF(AX307&lt;=0,0,AT308-AX307)+IF(BC307&lt;=0,0,AY308-BC307)</f>
        <v/>
      </c>
      <c r="D308" s="32">
        <f>G308+I308+L308+N308+Q308+S308+V308+X308+AA308+AC308+AF308+AH308+AK308+AM308+AP308+AR308+AU308+AW308+AZ308+BB308</f>
        <v/>
      </c>
      <c r="E308" s="32">
        <f>J308+O308+T308+Y308+AD308+AI308+AN308+AS308+AX308+BC308</f>
        <v/>
      </c>
      <c r="F308" s="33">
        <f>IF(J307&lt;=0,0,ROUND(J307*(1+'Your debts'!$D$6/1200),2))</f>
        <v/>
      </c>
      <c r="G308" s="33">
        <f>IF(F308&lt;=0,0,MIN('Your debts'!$E$6,F308))</f>
        <v/>
      </c>
      <c r="H308" s="33">
        <f>F308-G308</f>
        <v/>
      </c>
      <c r="I308" s="33">
        <f>IF('Your debts'!$F$6="",0,MIN(H308,MAX(0,MAX(0,'Your debts'!$C$19-(G308+L308+Q308+V308+AA308+AF308+AK308+AP308+AU308+AZ308))-(IF(AND('Your debts'!$F$7&lt;&gt;"",'Your debts'!$F$6&lt;&gt;"",'Your debts'!$F$7&lt;'Your debts'!$F$6),M308,0)+IF(AND('Your debts'!$F$8&lt;&gt;"",'Your debts'!$F$6&lt;&gt;"",'Your debts'!$F$8&lt;'Your debts'!$F$6),R308,0)+IF(AND('Your debts'!$F$9&lt;&gt;"",'Your debts'!$F$6&lt;&gt;"",'Your debts'!$F$9&lt;'Your debts'!$F$6),W308,0)+IF(AND('Your debts'!$F$10&lt;&gt;"",'Your debts'!$F$6&lt;&gt;"",'Your debts'!$F$10&lt;'Your debts'!$F$6),AB308,0)+IF(AND('Your debts'!$F$11&lt;&gt;"",'Your debts'!$F$6&lt;&gt;"",'Your debts'!$F$11&lt;'Your debts'!$F$6),AG308,0)+IF(AND('Your debts'!$F$12&lt;&gt;"",'Your debts'!$F$6&lt;&gt;"",'Your debts'!$F$12&lt;'Your debts'!$F$6),AL308,0)+IF(AND('Your debts'!$F$13&lt;&gt;"",'Your debts'!$F$6&lt;&gt;"",'Your debts'!$F$13&lt;'Your debts'!$F$6),AQ308,0)+IF(AND('Your debts'!$F$14&lt;&gt;"",'Your debts'!$F$6&lt;&gt;"",'Your debts'!$F$14&lt;'Your debts'!$F$6),AV308,0)+IF(AND('Your debts'!$F$15&lt;&gt;"",'Your debts'!$F$6&lt;&gt;"",'Your debts'!$F$15&lt;'Your debts'!$F$6),BA308,0)))))</f>
        <v/>
      </c>
      <c r="J308" s="33">
        <f>H308-I308</f>
        <v/>
      </c>
      <c r="K308" s="33">
        <f>IF(O307&lt;=0,0,ROUND(O307*(1+'Your debts'!$D$7/1200),2))</f>
        <v/>
      </c>
      <c r="L308" s="33">
        <f>IF(K308&lt;=0,0,MIN('Your debts'!$E$7,K308))</f>
        <v/>
      </c>
      <c r="M308" s="33">
        <f>K308-L308</f>
        <v/>
      </c>
      <c r="N308" s="33">
        <f>IF('Your debts'!$F$7="",0,MIN(M308,MAX(0,MAX(0,'Your debts'!$C$19-(G308+L308+Q308+V308+AA308+AF308+AK308+AP308+AU308+AZ308))-(IF(AND('Your debts'!$F$6&lt;&gt;"",'Your debts'!$F$7&lt;&gt;"",'Your debts'!$F$6&lt;'Your debts'!$F$7),H308,0)+IF(AND('Your debts'!$F$8&lt;&gt;"",'Your debts'!$F$7&lt;&gt;"",'Your debts'!$F$8&lt;'Your debts'!$F$7),R308,0)+IF(AND('Your debts'!$F$9&lt;&gt;"",'Your debts'!$F$7&lt;&gt;"",'Your debts'!$F$9&lt;'Your debts'!$F$7),W308,0)+IF(AND('Your debts'!$F$10&lt;&gt;"",'Your debts'!$F$7&lt;&gt;"",'Your debts'!$F$10&lt;'Your debts'!$F$7),AB308,0)+IF(AND('Your debts'!$F$11&lt;&gt;"",'Your debts'!$F$7&lt;&gt;"",'Your debts'!$F$11&lt;'Your debts'!$F$7),AG308,0)+IF(AND('Your debts'!$F$12&lt;&gt;"",'Your debts'!$F$7&lt;&gt;"",'Your debts'!$F$12&lt;'Your debts'!$F$7),AL308,0)+IF(AND('Your debts'!$F$13&lt;&gt;"",'Your debts'!$F$7&lt;&gt;"",'Your debts'!$F$13&lt;'Your debts'!$F$7),AQ308,0)+IF(AND('Your debts'!$F$14&lt;&gt;"",'Your debts'!$F$7&lt;&gt;"",'Your debts'!$F$14&lt;'Your debts'!$F$7),AV308,0)+IF(AND('Your debts'!$F$15&lt;&gt;"",'Your debts'!$F$7&lt;&gt;"",'Your debts'!$F$15&lt;'Your debts'!$F$7),BA308,0)))))</f>
        <v/>
      </c>
      <c r="O308" s="33">
        <f>M308-N308</f>
        <v/>
      </c>
      <c r="P308" s="33">
        <f>IF(T307&lt;=0,0,ROUND(T307*(1+'Your debts'!$D$8/1200),2))</f>
        <v/>
      </c>
      <c r="Q308" s="33">
        <f>IF(P308&lt;=0,0,MIN('Your debts'!$E$8,P308))</f>
        <v/>
      </c>
      <c r="R308" s="33">
        <f>P308-Q308</f>
        <v/>
      </c>
      <c r="S308" s="33">
        <f>IF('Your debts'!$F$8="",0,MIN(R308,MAX(0,MAX(0,'Your debts'!$C$19-(G308+L308+Q308+V308+AA308+AF308+AK308+AP308+AU308+AZ308))-(IF(AND('Your debts'!$F$6&lt;&gt;"",'Your debts'!$F$8&lt;&gt;"",'Your debts'!$F$6&lt;'Your debts'!$F$8),H308,0)+IF(AND('Your debts'!$F$7&lt;&gt;"",'Your debts'!$F$8&lt;&gt;"",'Your debts'!$F$7&lt;'Your debts'!$F$8),M308,0)+IF(AND('Your debts'!$F$9&lt;&gt;"",'Your debts'!$F$8&lt;&gt;"",'Your debts'!$F$9&lt;'Your debts'!$F$8),W308,0)+IF(AND('Your debts'!$F$10&lt;&gt;"",'Your debts'!$F$8&lt;&gt;"",'Your debts'!$F$10&lt;'Your debts'!$F$8),AB308,0)+IF(AND('Your debts'!$F$11&lt;&gt;"",'Your debts'!$F$8&lt;&gt;"",'Your debts'!$F$11&lt;'Your debts'!$F$8),AG308,0)+IF(AND('Your debts'!$F$12&lt;&gt;"",'Your debts'!$F$8&lt;&gt;"",'Your debts'!$F$12&lt;'Your debts'!$F$8),AL308,0)+IF(AND('Your debts'!$F$13&lt;&gt;"",'Your debts'!$F$8&lt;&gt;"",'Your debts'!$F$13&lt;'Your debts'!$F$8),AQ308,0)+IF(AND('Your debts'!$F$14&lt;&gt;"",'Your debts'!$F$8&lt;&gt;"",'Your debts'!$F$14&lt;'Your debts'!$F$8),AV308,0)+IF(AND('Your debts'!$F$15&lt;&gt;"",'Your debts'!$F$8&lt;&gt;"",'Your debts'!$F$15&lt;'Your debts'!$F$8),BA308,0)))))</f>
        <v/>
      </c>
      <c r="T308" s="33">
        <f>R308-S308</f>
        <v/>
      </c>
      <c r="U308" s="33">
        <f>IF(Y307&lt;=0,0,ROUND(Y307*(1+'Your debts'!$D$9/1200),2))</f>
        <v/>
      </c>
      <c r="V308" s="33">
        <f>IF(U308&lt;=0,0,MIN('Your debts'!$E$9,U308))</f>
        <v/>
      </c>
      <c r="W308" s="33">
        <f>U308-V308</f>
        <v/>
      </c>
      <c r="X308" s="33">
        <f>IF('Your debts'!$F$9="",0,MIN(W308,MAX(0,MAX(0,'Your debts'!$C$19-(G308+L308+Q308+V308+AA308+AF308+AK308+AP308+AU308+AZ308))-(IF(AND('Your debts'!$F$6&lt;&gt;"",'Your debts'!$F$9&lt;&gt;"",'Your debts'!$F$6&lt;'Your debts'!$F$9),H308,0)+IF(AND('Your debts'!$F$7&lt;&gt;"",'Your debts'!$F$9&lt;&gt;"",'Your debts'!$F$7&lt;'Your debts'!$F$9),M308,0)+IF(AND('Your debts'!$F$8&lt;&gt;"",'Your debts'!$F$9&lt;&gt;"",'Your debts'!$F$8&lt;'Your debts'!$F$9),R308,0)+IF(AND('Your debts'!$F$10&lt;&gt;"",'Your debts'!$F$9&lt;&gt;"",'Your debts'!$F$10&lt;'Your debts'!$F$9),AB308,0)+IF(AND('Your debts'!$F$11&lt;&gt;"",'Your debts'!$F$9&lt;&gt;"",'Your debts'!$F$11&lt;'Your debts'!$F$9),AG308,0)+IF(AND('Your debts'!$F$12&lt;&gt;"",'Your debts'!$F$9&lt;&gt;"",'Your debts'!$F$12&lt;'Your debts'!$F$9),AL308,0)+IF(AND('Your debts'!$F$13&lt;&gt;"",'Your debts'!$F$9&lt;&gt;"",'Your debts'!$F$13&lt;'Your debts'!$F$9),AQ308,0)+IF(AND('Your debts'!$F$14&lt;&gt;"",'Your debts'!$F$9&lt;&gt;"",'Your debts'!$F$14&lt;'Your debts'!$F$9),AV308,0)+IF(AND('Your debts'!$F$15&lt;&gt;"",'Your debts'!$F$9&lt;&gt;"",'Your debts'!$F$15&lt;'Your debts'!$F$9),BA308,0)))))</f>
        <v/>
      </c>
      <c r="Y308" s="33">
        <f>W308-X308</f>
        <v/>
      </c>
      <c r="Z308" s="33">
        <f>IF(AD307&lt;=0,0,ROUND(AD307*(1+'Your debts'!$D$10/1200),2))</f>
        <v/>
      </c>
      <c r="AA308" s="33">
        <f>IF(Z308&lt;=0,0,MIN('Your debts'!$E$10,Z308))</f>
        <v/>
      </c>
      <c r="AB308" s="33">
        <f>Z308-AA308</f>
        <v/>
      </c>
      <c r="AC308" s="33">
        <f>IF('Your debts'!$F$10="",0,MIN(AB308,MAX(0,MAX(0,'Your debts'!$C$19-(G308+L308+Q308+V308+AA308+AF308+AK308+AP308+AU308+AZ308))-(IF(AND('Your debts'!$F$6&lt;&gt;"",'Your debts'!$F$10&lt;&gt;"",'Your debts'!$F$6&lt;'Your debts'!$F$10),H308,0)+IF(AND('Your debts'!$F$7&lt;&gt;"",'Your debts'!$F$10&lt;&gt;"",'Your debts'!$F$7&lt;'Your debts'!$F$10),M308,0)+IF(AND('Your debts'!$F$8&lt;&gt;"",'Your debts'!$F$10&lt;&gt;"",'Your debts'!$F$8&lt;'Your debts'!$F$10),R308,0)+IF(AND('Your debts'!$F$9&lt;&gt;"",'Your debts'!$F$10&lt;&gt;"",'Your debts'!$F$9&lt;'Your debts'!$F$10),W308,0)+IF(AND('Your debts'!$F$11&lt;&gt;"",'Your debts'!$F$10&lt;&gt;"",'Your debts'!$F$11&lt;'Your debts'!$F$10),AG308,0)+IF(AND('Your debts'!$F$12&lt;&gt;"",'Your debts'!$F$10&lt;&gt;"",'Your debts'!$F$12&lt;'Your debts'!$F$10),AL308,0)+IF(AND('Your debts'!$F$13&lt;&gt;"",'Your debts'!$F$10&lt;&gt;"",'Your debts'!$F$13&lt;'Your debts'!$F$10),AQ308,0)+IF(AND('Your debts'!$F$14&lt;&gt;"",'Your debts'!$F$10&lt;&gt;"",'Your debts'!$F$14&lt;'Your debts'!$F$10),AV308,0)+IF(AND('Your debts'!$F$15&lt;&gt;"",'Your debts'!$F$10&lt;&gt;"",'Your debts'!$F$15&lt;'Your debts'!$F$10),BA308,0)))))</f>
        <v/>
      </c>
      <c r="AD308" s="33">
        <f>AB308-AC308</f>
        <v/>
      </c>
      <c r="AE308" s="33">
        <f>IF(AI307&lt;=0,0,ROUND(AI307*(1+'Your debts'!$D$11/1200),2))</f>
        <v/>
      </c>
      <c r="AF308" s="33">
        <f>IF(AE308&lt;=0,0,MIN('Your debts'!$E$11,AE308))</f>
        <v/>
      </c>
      <c r="AG308" s="33">
        <f>AE308-AF308</f>
        <v/>
      </c>
      <c r="AH308" s="33">
        <f>IF('Your debts'!$F$11="",0,MIN(AG308,MAX(0,MAX(0,'Your debts'!$C$19-(G308+L308+Q308+V308+AA308+AF308+AK308+AP308+AU308+AZ308))-(IF(AND('Your debts'!$F$6&lt;&gt;"",'Your debts'!$F$11&lt;&gt;"",'Your debts'!$F$6&lt;'Your debts'!$F$11),H308,0)+IF(AND('Your debts'!$F$7&lt;&gt;"",'Your debts'!$F$11&lt;&gt;"",'Your debts'!$F$7&lt;'Your debts'!$F$11),M308,0)+IF(AND('Your debts'!$F$8&lt;&gt;"",'Your debts'!$F$11&lt;&gt;"",'Your debts'!$F$8&lt;'Your debts'!$F$11),R308,0)+IF(AND('Your debts'!$F$9&lt;&gt;"",'Your debts'!$F$11&lt;&gt;"",'Your debts'!$F$9&lt;'Your debts'!$F$11),W308,0)+IF(AND('Your debts'!$F$10&lt;&gt;"",'Your debts'!$F$11&lt;&gt;"",'Your debts'!$F$10&lt;'Your debts'!$F$11),AB308,0)+IF(AND('Your debts'!$F$12&lt;&gt;"",'Your debts'!$F$11&lt;&gt;"",'Your debts'!$F$12&lt;'Your debts'!$F$11),AL308,0)+IF(AND('Your debts'!$F$13&lt;&gt;"",'Your debts'!$F$11&lt;&gt;"",'Your debts'!$F$13&lt;'Your debts'!$F$11),AQ308,0)+IF(AND('Your debts'!$F$14&lt;&gt;"",'Your debts'!$F$11&lt;&gt;"",'Your debts'!$F$14&lt;'Your debts'!$F$11),AV308,0)+IF(AND('Your debts'!$F$15&lt;&gt;"",'Your debts'!$F$11&lt;&gt;"",'Your debts'!$F$15&lt;'Your debts'!$F$11),BA308,0)))))</f>
        <v/>
      </c>
      <c r="AI308" s="33">
        <f>AG308-AH308</f>
        <v/>
      </c>
      <c r="AJ308" s="33">
        <f>IF(AN307&lt;=0,0,ROUND(AN307*(1+'Your debts'!$D$12/1200),2))</f>
        <v/>
      </c>
      <c r="AK308" s="33">
        <f>IF(AJ308&lt;=0,0,MIN('Your debts'!$E$12,AJ308))</f>
        <v/>
      </c>
      <c r="AL308" s="33">
        <f>AJ308-AK308</f>
        <v/>
      </c>
      <c r="AM308" s="33">
        <f>IF('Your debts'!$F$12="",0,MIN(AL308,MAX(0,MAX(0,'Your debts'!$C$19-(G308+L308+Q308+V308+AA308+AF308+AK308+AP308+AU308+AZ308))-(IF(AND('Your debts'!$F$6&lt;&gt;"",'Your debts'!$F$12&lt;&gt;"",'Your debts'!$F$6&lt;'Your debts'!$F$12),H308,0)+IF(AND('Your debts'!$F$7&lt;&gt;"",'Your debts'!$F$12&lt;&gt;"",'Your debts'!$F$7&lt;'Your debts'!$F$12),M308,0)+IF(AND('Your debts'!$F$8&lt;&gt;"",'Your debts'!$F$12&lt;&gt;"",'Your debts'!$F$8&lt;'Your debts'!$F$12),R308,0)+IF(AND('Your debts'!$F$9&lt;&gt;"",'Your debts'!$F$12&lt;&gt;"",'Your debts'!$F$9&lt;'Your debts'!$F$12),W308,0)+IF(AND('Your debts'!$F$10&lt;&gt;"",'Your debts'!$F$12&lt;&gt;"",'Your debts'!$F$10&lt;'Your debts'!$F$12),AB308,0)+IF(AND('Your debts'!$F$11&lt;&gt;"",'Your debts'!$F$12&lt;&gt;"",'Your debts'!$F$11&lt;'Your debts'!$F$12),AG308,0)+IF(AND('Your debts'!$F$13&lt;&gt;"",'Your debts'!$F$12&lt;&gt;"",'Your debts'!$F$13&lt;'Your debts'!$F$12),AQ308,0)+IF(AND('Your debts'!$F$14&lt;&gt;"",'Your debts'!$F$12&lt;&gt;"",'Your debts'!$F$14&lt;'Your debts'!$F$12),AV308,0)+IF(AND('Your debts'!$F$15&lt;&gt;"",'Your debts'!$F$12&lt;&gt;"",'Your debts'!$F$15&lt;'Your debts'!$F$12),BA308,0)))))</f>
        <v/>
      </c>
      <c r="AN308" s="33">
        <f>AL308-AM308</f>
        <v/>
      </c>
      <c r="AO308" s="33">
        <f>IF(AS307&lt;=0,0,ROUND(AS307*(1+'Your debts'!$D$13/1200),2))</f>
        <v/>
      </c>
      <c r="AP308" s="33">
        <f>IF(AO308&lt;=0,0,MIN('Your debts'!$E$13,AO308))</f>
        <v/>
      </c>
      <c r="AQ308" s="33">
        <f>AO308-AP308</f>
        <v/>
      </c>
      <c r="AR308" s="33">
        <f>IF('Your debts'!$F$13="",0,MIN(AQ308,MAX(0,MAX(0,'Your debts'!$C$19-(G308+L308+Q308+V308+AA308+AF308+AK308+AP308+AU308+AZ308))-(IF(AND('Your debts'!$F$6&lt;&gt;"",'Your debts'!$F$13&lt;&gt;"",'Your debts'!$F$6&lt;'Your debts'!$F$13),H308,0)+IF(AND('Your debts'!$F$7&lt;&gt;"",'Your debts'!$F$13&lt;&gt;"",'Your debts'!$F$7&lt;'Your debts'!$F$13),M308,0)+IF(AND('Your debts'!$F$8&lt;&gt;"",'Your debts'!$F$13&lt;&gt;"",'Your debts'!$F$8&lt;'Your debts'!$F$13),R308,0)+IF(AND('Your debts'!$F$9&lt;&gt;"",'Your debts'!$F$13&lt;&gt;"",'Your debts'!$F$9&lt;'Your debts'!$F$13),W308,0)+IF(AND('Your debts'!$F$10&lt;&gt;"",'Your debts'!$F$13&lt;&gt;"",'Your debts'!$F$10&lt;'Your debts'!$F$13),AB308,0)+IF(AND('Your debts'!$F$11&lt;&gt;"",'Your debts'!$F$13&lt;&gt;"",'Your debts'!$F$11&lt;'Your debts'!$F$13),AG308,0)+IF(AND('Your debts'!$F$12&lt;&gt;"",'Your debts'!$F$13&lt;&gt;"",'Your debts'!$F$12&lt;'Your debts'!$F$13),AL308,0)+IF(AND('Your debts'!$F$14&lt;&gt;"",'Your debts'!$F$13&lt;&gt;"",'Your debts'!$F$14&lt;'Your debts'!$F$13),AV308,0)+IF(AND('Your debts'!$F$15&lt;&gt;"",'Your debts'!$F$13&lt;&gt;"",'Your debts'!$F$15&lt;'Your debts'!$F$13),BA308,0)))))</f>
        <v/>
      </c>
      <c r="AS308" s="33">
        <f>AQ308-AR308</f>
        <v/>
      </c>
      <c r="AT308" s="33">
        <f>IF(AX307&lt;=0,0,ROUND(AX307*(1+'Your debts'!$D$14/1200),2))</f>
        <v/>
      </c>
      <c r="AU308" s="33">
        <f>IF(AT308&lt;=0,0,MIN('Your debts'!$E$14,AT308))</f>
        <v/>
      </c>
      <c r="AV308" s="33">
        <f>AT308-AU308</f>
        <v/>
      </c>
      <c r="AW308" s="33">
        <f>IF('Your debts'!$F$14="",0,MIN(AV308,MAX(0,MAX(0,'Your debts'!$C$19-(G308+L308+Q308+V308+AA308+AF308+AK308+AP308+AU308+AZ308))-(IF(AND('Your debts'!$F$6&lt;&gt;"",'Your debts'!$F$14&lt;&gt;"",'Your debts'!$F$6&lt;'Your debts'!$F$14),H308,0)+IF(AND('Your debts'!$F$7&lt;&gt;"",'Your debts'!$F$14&lt;&gt;"",'Your debts'!$F$7&lt;'Your debts'!$F$14),M308,0)+IF(AND('Your debts'!$F$8&lt;&gt;"",'Your debts'!$F$14&lt;&gt;"",'Your debts'!$F$8&lt;'Your debts'!$F$14),R308,0)+IF(AND('Your debts'!$F$9&lt;&gt;"",'Your debts'!$F$14&lt;&gt;"",'Your debts'!$F$9&lt;'Your debts'!$F$14),W308,0)+IF(AND('Your debts'!$F$10&lt;&gt;"",'Your debts'!$F$14&lt;&gt;"",'Your debts'!$F$10&lt;'Your debts'!$F$14),AB308,0)+IF(AND('Your debts'!$F$11&lt;&gt;"",'Your debts'!$F$14&lt;&gt;"",'Your debts'!$F$11&lt;'Your debts'!$F$14),AG308,0)+IF(AND('Your debts'!$F$12&lt;&gt;"",'Your debts'!$F$14&lt;&gt;"",'Your debts'!$F$12&lt;'Your debts'!$F$14),AL308,0)+IF(AND('Your debts'!$F$13&lt;&gt;"",'Your debts'!$F$14&lt;&gt;"",'Your debts'!$F$13&lt;'Your debts'!$F$14),AQ308,0)+IF(AND('Your debts'!$F$15&lt;&gt;"",'Your debts'!$F$14&lt;&gt;"",'Your debts'!$F$15&lt;'Your debts'!$F$14),BA308,0)))))</f>
        <v/>
      </c>
      <c r="AX308" s="33">
        <f>AV308-AW308</f>
        <v/>
      </c>
      <c r="AY308" s="33">
        <f>IF(BC307&lt;=0,0,ROUND(BC307*(1+'Your debts'!$D$15/1200),2))</f>
        <v/>
      </c>
      <c r="AZ308" s="33">
        <f>IF(AY308&lt;=0,0,MIN('Your debts'!$E$15,AY308))</f>
        <v/>
      </c>
      <c r="BA308" s="33">
        <f>AY308-AZ308</f>
        <v/>
      </c>
      <c r="BB308" s="33">
        <f>IF('Your debts'!$F$15="",0,MIN(BA308,MAX(0,MAX(0,'Your debts'!$C$19-(G308+L308+Q308+V308+AA308+AF308+AK308+AP308+AU308+AZ308))-(IF(AND('Your debts'!$F$6&lt;&gt;"",'Your debts'!$F$15&lt;&gt;"",'Your debts'!$F$6&lt;'Your debts'!$F$15),H308,0)+IF(AND('Your debts'!$F$7&lt;&gt;"",'Your debts'!$F$15&lt;&gt;"",'Your debts'!$F$7&lt;'Your debts'!$F$15),M308,0)+IF(AND('Your debts'!$F$8&lt;&gt;"",'Your debts'!$F$15&lt;&gt;"",'Your debts'!$F$8&lt;'Your debts'!$F$15),R308,0)+IF(AND('Your debts'!$F$9&lt;&gt;"",'Your debts'!$F$15&lt;&gt;"",'Your debts'!$F$9&lt;'Your debts'!$F$15),W308,0)+IF(AND('Your debts'!$F$10&lt;&gt;"",'Your debts'!$F$15&lt;&gt;"",'Your debts'!$F$10&lt;'Your debts'!$F$15),AB308,0)+IF(AND('Your debts'!$F$11&lt;&gt;"",'Your debts'!$F$15&lt;&gt;"",'Your debts'!$F$11&lt;'Your debts'!$F$15),AG308,0)+IF(AND('Your debts'!$F$12&lt;&gt;"",'Your debts'!$F$15&lt;&gt;"",'Your debts'!$F$12&lt;'Your debts'!$F$15),AL308,0)+IF(AND('Your debts'!$F$13&lt;&gt;"",'Your debts'!$F$15&lt;&gt;"",'Your debts'!$F$13&lt;'Your debts'!$F$15),AQ308,0)+IF(AND('Your debts'!$F$14&lt;&gt;"",'Your debts'!$F$15&lt;&gt;"",'Your debts'!$F$14&lt;'Your debts'!$F$15),AV308,0)))))</f>
        <v/>
      </c>
      <c r="BC308" s="33">
        <f>BA308-BB308</f>
        <v/>
      </c>
    </row>
    <row r="309">
      <c r="A309" s="30" t="n">
        <v>294</v>
      </c>
      <c r="B309" s="31">
        <f>EDATE($B$15,294)</f>
        <v/>
      </c>
      <c r="C309" s="32">
        <f>IF(J308&lt;=0,0,F309-J308)+IF(O308&lt;=0,0,K309-O308)+IF(T308&lt;=0,0,P309-T308)+IF(Y308&lt;=0,0,U309-Y308)+IF(AD308&lt;=0,0,Z309-AD308)+IF(AI308&lt;=0,0,AE309-AI308)+IF(AN308&lt;=0,0,AJ309-AN308)+IF(AS308&lt;=0,0,AO309-AS308)+IF(AX308&lt;=0,0,AT309-AX308)+IF(BC308&lt;=0,0,AY309-BC308)</f>
        <v/>
      </c>
      <c r="D309" s="32">
        <f>G309+I309+L309+N309+Q309+S309+V309+X309+AA309+AC309+AF309+AH309+AK309+AM309+AP309+AR309+AU309+AW309+AZ309+BB309</f>
        <v/>
      </c>
      <c r="E309" s="32">
        <f>J309+O309+T309+Y309+AD309+AI309+AN309+AS309+AX309+BC309</f>
        <v/>
      </c>
      <c r="F309" s="33">
        <f>IF(J308&lt;=0,0,ROUND(J308*(1+'Your debts'!$D$6/1200),2))</f>
        <v/>
      </c>
      <c r="G309" s="33">
        <f>IF(F309&lt;=0,0,MIN('Your debts'!$E$6,F309))</f>
        <v/>
      </c>
      <c r="H309" s="33">
        <f>F309-G309</f>
        <v/>
      </c>
      <c r="I309" s="33">
        <f>IF('Your debts'!$F$6="",0,MIN(H309,MAX(0,MAX(0,'Your debts'!$C$19-(G309+L309+Q309+V309+AA309+AF309+AK309+AP309+AU309+AZ309))-(IF(AND('Your debts'!$F$7&lt;&gt;"",'Your debts'!$F$6&lt;&gt;"",'Your debts'!$F$7&lt;'Your debts'!$F$6),M309,0)+IF(AND('Your debts'!$F$8&lt;&gt;"",'Your debts'!$F$6&lt;&gt;"",'Your debts'!$F$8&lt;'Your debts'!$F$6),R309,0)+IF(AND('Your debts'!$F$9&lt;&gt;"",'Your debts'!$F$6&lt;&gt;"",'Your debts'!$F$9&lt;'Your debts'!$F$6),W309,0)+IF(AND('Your debts'!$F$10&lt;&gt;"",'Your debts'!$F$6&lt;&gt;"",'Your debts'!$F$10&lt;'Your debts'!$F$6),AB309,0)+IF(AND('Your debts'!$F$11&lt;&gt;"",'Your debts'!$F$6&lt;&gt;"",'Your debts'!$F$11&lt;'Your debts'!$F$6),AG309,0)+IF(AND('Your debts'!$F$12&lt;&gt;"",'Your debts'!$F$6&lt;&gt;"",'Your debts'!$F$12&lt;'Your debts'!$F$6),AL309,0)+IF(AND('Your debts'!$F$13&lt;&gt;"",'Your debts'!$F$6&lt;&gt;"",'Your debts'!$F$13&lt;'Your debts'!$F$6),AQ309,0)+IF(AND('Your debts'!$F$14&lt;&gt;"",'Your debts'!$F$6&lt;&gt;"",'Your debts'!$F$14&lt;'Your debts'!$F$6),AV309,0)+IF(AND('Your debts'!$F$15&lt;&gt;"",'Your debts'!$F$6&lt;&gt;"",'Your debts'!$F$15&lt;'Your debts'!$F$6),BA309,0)))))</f>
        <v/>
      </c>
      <c r="J309" s="33">
        <f>H309-I309</f>
        <v/>
      </c>
      <c r="K309" s="33">
        <f>IF(O308&lt;=0,0,ROUND(O308*(1+'Your debts'!$D$7/1200),2))</f>
        <v/>
      </c>
      <c r="L309" s="33">
        <f>IF(K309&lt;=0,0,MIN('Your debts'!$E$7,K309))</f>
        <v/>
      </c>
      <c r="M309" s="33">
        <f>K309-L309</f>
        <v/>
      </c>
      <c r="N309" s="33">
        <f>IF('Your debts'!$F$7="",0,MIN(M309,MAX(0,MAX(0,'Your debts'!$C$19-(G309+L309+Q309+V309+AA309+AF309+AK309+AP309+AU309+AZ309))-(IF(AND('Your debts'!$F$6&lt;&gt;"",'Your debts'!$F$7&lt;&gt;"",'Your debts'!$F$6&lt;'Your debts'!$F$7),H309,0)+IF(AND('Your debts'!$F$8&lt;&gt;"",'Your debts'!$F$7&lt;&gt;"",'Your debts'!$F$8&lt;'Your debts'!$F$7),R309,0)+IF(AND('Your debts'!$F$9&lt;&gt;"",'Your debts'!$F$7&lt;&gt;"",'Your debts'!$F$9&lt;'Your debts'!$F$7),W309,0)+IF(AND('Your debts'!$F$10&lt;&gt;"",'Your debts'!$F$7&lt;&gt;"",'Your debts'!$F$10&lt;'Your debts'!$F$7),AB309,0)+IF(AND('Your debts'!$F$11&lt;&gt;"",'Your debts'!$F$7&lt;&gt;"",'Your debts'!$F$11&lt;'Your debts'!$F$7),AG309,0)+IF(AND('Your debts'!$F$12&lt;&gt;"",'Your debts'!$F$7&lt;&gt;"",'Your debts'!$F$12&lt;'Your debts'!$F$7),AL309,0)+IF(AND('Your debts'!$F$13&lt;&gt;"",'Your debts'!$F$7&lt;&gt;"",'Your debts'!$F$13&lt;'Your debts'!$F$7),AQ309,0)+IF(AND('Your debts'!$F$14&lt;&gt;"",'Your debts'!$F$7&lt;&gt;"",'Your debts'!$F$14&lt;'Your debts'!$F$7),AV309,0)+IF(AND('Your debts'!$F$15&lt;&gt;"",'Your debts'!$F$7&lt;&gt;"",'Your debts'!$F$15&lt;'Your debts'!$F$7),BA309,0)))))</f>
        <v/>
      </c>
      <c r="O309" s="33">
        <f>M309-N309</f>
        <v/>
      </c>
      <c r="P309" s="33">
        <f>IF(T308&lt;=0,0,ROUND(T308*(1+'Your debts'!$D$8/1200),2))</f>
        <v/>
      </c>
      <c r="Q309" s="33">
        <f>IF(P309&lt;=0,0,MIN('Your debts'!$E$8,P309))</f>
        <v/>
      </c>
      <c r="R309" s="33">
        <f>P309-Q309</f>
        <v/>
      </c>
      <c r="S309" s="33">
        <f>IF('Your debts'!$F$8="",0,MIN(R309,MAX(0,MAX(0,'Your debts'!$C$19-(G309+L309+Q309+V309+AA309+AF309+AK309+AP309+AU309+AZ309))-(IF(AND('Your debts'!$F$6&lt;&gt;"",'Your debts'!$F$8&lt;&gt;"",'Your debts'!$F$6&lt;'Your debts'!$F$8),H309,0)+IF(AND('Your debts'!$F$7&lt;&gt;"",'Your debts'!$F$8&lt;&gt;"",'Your debts'!$F$7&lt;'Your debts'!$F$8),M309,0)+IF(AND('Your debts'!$F$9&lt;&gt;"",'Your debts'!$F$8&lt;&gt;"",'Your debts'!$F$9&lt;'Your debts'!$F$8),W309,0)+IF(AND('Your debts'!$F$10&lt;&gt;"",'Your debts'!$F$8&lt;&gt;"",'Your debts'!$F$10&lt;'Your debts'!$F$8),AB309,0)+IF(AND('Your debts'!$F$11&lt;&gt;"",'Your debts'!$F$8&lt;&gt;"",'Your debts'!$F$11&lt;'Your debts'!$F$8),AG309,0)+IF(AND('Your debts'!$F$12&lt;&gt;"",'Your debts'!$F$8&lt;&gt;"",'Your debts'!$F$12&lt;'Your debts'!$F$8),AL309,0)+IF(AND('Your debts'!$F$13&lt;&gt;"",'Your debts'!$F$8&lt;&gt;"",'Your debts'!$F$13&lt;'Your debts'!$F$8),AQ309,0)+IF(AND('Your debts'!$F$14&lt;&gt;"",'Your debts'!$F$8&lt;&gt;"",'Your debts'!$F$14&lt;'Your debts'!$F$8),AV309,0)+IF(AND('Your debts'!$F$15&lt;&gt;"",'Your debts'!$F$8&lt;&gt;"",'Your debts'!$F$15&lt;'Your debts'!$F$8),BA309,0)))))</f>
        <v/>
      </c>
      <c r="T309" s="33">
        <f>R309-S309</f>
        <v/>
      </c>
      <c r="U309" s="33">
        <f>IF(Y308&lt;=0,0,ROUND(Y308*(1+'Your debts'!$D$9/1200),2))</f>
        <v/>
      </c>
      <c r="V309" s="33">
        <f>IF(U309&lt;=0,0,MIN('Your debts'!$E$9,U309))</f>
        <v/>
      </c>
      <c r="W309" s="33">
        <f>U309-V309</f>
        <v/>
      </c>
      <c r="X309" s="33">
        <f>IF('Your debts'!$F$9="",0,MIN(W309,MAX(0,MAX(0,'Your debts'!$C$19-(G309+L309+Q309+V309+AA309+AF309+AK309+AP309+AU309+AZ309))-(IF(AND('Your debts'!$F$6&lt;&gt;"",'Your debts'!$F$9&lt;&gt;"",'Your debts'!$F$6&lt;'Your debts'!$F$9),H309,0)+IF(AND('Your debts'!$F$7&lt;&gt;"",'Your debts'!$F$9&lt;&gt;"",'Your debts'!$F$7&lt;'Your debts'!$F$9),M309,0)+IF(AND('Your debts'!$F$8&lt;&gt;"",'Your debts'!$F$9&lt;&gt;"",'Your debts'!$F$8&lt;'Your debts'!$F$9),R309,0)+IF(AND('Your debts'!$F$10&lt;&gt;"",'Your debts'!$F$9&lt;&gt;"",'Your debts'!$F$10&lt;'Your debts'!$F$9),AB309,0)+IF(AND('Your debts'!$F$11&lt;&gt;"",'Your debts'!$F$9&lt;&gt;"",'Your debts'!$F$11&lt;'Your debts'!$F$9),AG309,0)+IF(AND('Your debts'!$F$12&lt;&gt;"",'Your debts'!$F$9&lt;&gt;"",'Your debts'!$F$12&lt;'Your debts'!$F$9),AL309,0)+IF(AND('Your debts'!$F$13&lt;&gt;"",'Your debts'!$F$9&lt;&gt;"",'Your debts'!$F$13&lt;'Your debts'!$F$9),AQ309,0)+IF(AND('Your debts'!$F$14&lt;&gt;"",'Your debts'!$F$9&lt;&gt;"",'Your debts'!$F$14&lt;'Your debts'!$F$9),AV309,0)+IF(AND('Your debts'!$F$15&lt;&gt;"",'Your debts'!$F$9&lt;&gt;"",'Your debts'!$F$15&lt;'Your debts'!$F$9),BA309,0)))))</f>
        <v/>
      </c>
      <c r="Y309" s="33">
        <f>W309-X309</f>
        <v/>
      </c>
      <c r="Z309" s="33">
        <f>IF(AD308&lt;=0,0,ROUND(AD308*(1+'Your debts'!$D$10/1200),2))</f>
        <v/>
      </c>
      <c r="AA309" s="33">
        <f>IF(Z309&lt;=0,0,MIN('Your debts'!$E$10,Z309))</f>
        <v/>
      </c>
      <c r="AB309" s="33">
        <f>Z309-AA309</f>
        <v/>
      </c>
      <c r="AC309" s="33">
        <f>IF('Your debts'!$F$10="",0,MIN(AB309,MAX(0,MAX(0,'Your debts'!$C$19-(G309+L309+Q309+V309+AA309+AF309+AK309+AP309+AU309+AZ309))-(IF(AND('Your debts'!$F$6&lt;&gt;"",'Your debts'!$F$10&lt;&gt;"",'Your debts'!$F$6&lt;'Your debts'!$F$10),H309,0)+IF(AND('Your debts'!$F$7&lt;&gt;"",'Your debts'!$F$10&lt;&gt;"",'Your debts'!$F$7&lt;'Your debts'!$F$10),M309,0)+IF(AND('Your debts'!$F$8&lt;&gt;"",'Your debts'!$F$10&lt;&gt;"",'Your debts'!$F$8&lt;'Your debts'!$F$10),R309,0)+IF(AND('Your debts'!$F$9&lt;&gt;"",'Your debts'!$F$10&lt;&gt;"",'Your debts'!$F$9&lt;'Your debts'!$F$10),W309,0)+IF(AND('Your debts'!$F$11&lt;&gt;"",'Your debts'!$F$10&lt;&gt;"",'Your debts'!$F$11&lt;'Your debts'!$F$10),AG309,0)+IF(AND('Your debts'!$F$12&lt;&gt;"",'Your debts'!$F$10&lt;&gt;"",'Your debts'!$F$12&lt;'Your debts'!$F$10),AL309,0)+IF(AND('Your debts'!$F$13&lt;&gt;"",'Your debts'!$F$10&lt;&gt;"",'Your debts'!$F$13&lt;'Your debts'!$F$10),AQ309,0)+IF(AND('Your debts'!$F$14&lt;&gt;"",'Your debts'!$F$10&lt;&gt;"",'Your debts'!$F$14&lt;'Your debts'!$F$10),AV309,0)+IF(AND('Your debts'!$F$15&lt;&gt;"",'Your debts'!$F$10&lt;&gt;"",'Your debts'!$F$15&lt;'Your debts'!$F$10),BA309,0)))))</f>
        <v/>
      </c>
      <c r="AD309" s="33">
        <f>AB309-AC309</f>
        <v/>
      </c>
      <c r="AE309" s="33">
        <f>IF(AI308&lt;=0,0,ROUND(AI308*(1+'Your debts'!$D$11/1200),2))</f>
        <v/>
      </c>
      <c r="AF309" s="33">
        <f>IF(AE309&lt;=0,0,MIN('Your debts'!$E$11,AE309))</f>
        <v/>
      </c>
      <c r="AG309" s="33">
        <f>AE309-AF309</f>
        <v/>
      </c>
      <c r="AH309" s="33">
        <f>IF('Your debts'!$F$11="",0,MIN(AG309,MAX(0,MAX(0,'Your debts'!$C$19-(G309+L309+Q309+V309+AA309+AF309+AK309+AP309+AU309+AZ309))-(IF(AND('Your debts'!$F$6&lt;&gt;"",'Your debts'!$F$11&lt;&gt;"",'Your debts'!$F$6&lt;'Your debts'!$F$11),H309,0)+IF(AND('Your debts'!$F$7&lt;&gt;"",'Your debts'!$F$11&lt;&gt;"",'Your debts'!$F$7&lt;'Your debts'!$F$11),M309,0)+IF(AND('Your debts'!$F$8&lt;&gt;"",'Your debts'!$F$11&lt;&gt;"",'Your debts'!$F$8&lt;'Your debts'!$F$11),R309,0)+IF(AND('Your debts'!$F$9&lt;&gt;"",'Your debts'!$F$11&lt;&gt;"",'Your debts'!$F$9&lt;'Your debts'!$F$11),W309,0)+IF(AND('Your debts'!$F$10&lt;&gt;"",'Your debts'!$F$11&lt;&gt;"",'Your debts'!$F$10&lt;'Your debts'!$F$11),AB309,0)+IF(AND('Your debts'!$F$12&lt;&gt;"",'Your debts'!$F$11&lt;&gt;"",'Your debts'!$F$12&lt;'Your debts'!$F$11),AL309,0)+IF(AND('Your debts'!$F$13&lt;&gt;"",'Your debts'!$F$11&lt;&gt;"",'Your debts'!$F$13&lt;'Your debts'!$F$11),AQ309,0)+IF(AND('Your debts'!$F$14&lt;&gt;"",'Your debts'!$F$11&lt;&gt;"",'Your debts'!$F$14&lt;'Your debts'!$F$11),AV309,0)+IF(AND('Your debts'!$F$15&lt;&gt;"",'Your debts'!$F$11&lt;&gt;"",'Your debts'!$F$15&lt;'Your debts'!$F$11),BA309,0)))))</f>
        <v/>
      </c>
      <c r="AI309" s="33">
        <f>AG309-AH309</f>
        <v/>
      </c>
      <c r="AJ309" s="33">
        <f>IF(AN308&lt;=0,0,ROUND(AN308*(1+'Your debts'!$D$12/1200),2))</f>
        <v/>
      </c>
      <c r="AK309" s="33">
        <f>IF(AJ309&lt;=0,0,MIN('Your debts'!$E$12,AJ309))</f>
        <v/>
      </c>
      <c r="AL309" s="33">
        <f>AJ309-AK309</f>
        <v/>
      </c>
      <c r="AM309" s="33">
        <f>IF('Your debts'!$F$12="",0,MIN(AL309,MAX(0,MAX(0,'Your debts'!$C$19-(G309+L309+Q309+V309+AA309+AF309+AK309+AP309+AU309+AZ309))-(IF(AND('Your debts'!$F$6&lt;&gt;"",'Your debts'!$F$12&lt;&gt;"",'Your debts'!$F$6&lt;'Your debts'!$F$12),H309,0)+IF(AND('Your debts'!$F$7&lt;&gt;"",'Your debts'!$F$12&lt;&gt;"",'Your debts'!$F$7&lt;'Your debts'!$F$12),M309,0)+IF(AND('Your debts'!$F$8&lt;&gt;"",'Your debts'!$F$12&lt;&gt;"",'Your debts'!$F$8&lt;'Your debts'!$F$12),R309,0)+IF(AND('Your debts'!$F$9&lt;&gt;"",'Your debts'!$F$12&lt;&gt;"",'Your debts'!$F$9&lt;'Your debts'!$F$12),W309,0)+IF(AND('Your debts'!$F$10&lt;&gt;"",'Your debts'!$F$12&lt;&gt;"",'Your debts'!$F$10&lt;'Your debts'!$F$12),AB309,0)+IF(AND('Your debts'!$F$11&lt;&gt;"",'Your debts'!$F$12&lt;&gt;"",'Your debts'!$F$11&lt;'Your debts'!$F$12),AG309,0)+IF(AND('Your debts'!$F$13&lt;&gt;"",'Your debts'!$F$12&lt;&gt;"",'Your debts'!$F$13&lt;'Your debts'!$F$12),AQ309,0)+IF(AND('Your debts'!$F$14&lt;&gt;"",'Your debts'!$F$12&lt;&gt;"",'Your debts'!$F$14&lt;'Your debts'!$F$12),AV309,0)+IF(AND('Your debts'!$F$15&lt;&gt;"",'Your debts'!$F$12&lt;&gt;"",'Your debts'!$F$15&lt;'Your debts'!$F$12),BA309,0)))))</f>
        <v/>
      </c>
      <c r="AN309" s="33">
        <f>AL309-AM309</f>
        <v/>
      </c>
      <c r="AO309" s="33">
        <f>IF(AS308&lt;=0,0,ROUND(AS308*(1+'Your debts'!$D$13/1200),2))</f>
        <v/>
      </c>
      <c r="AP309" s="33">
        <f>IF(AO309&lt;=0,0,MIN('Your debts'!$E$13,AO309))</f>
        <v/>
      </c>
      <c r="AQ309" s="33">
        <f>AO309-AP309</f>
        <v/>
      </c>
      <c r="AR309" s="33">
        <f>IF('Your debts'!$F$13="",0,MIN(AQ309,MAX(0,MAX(0,'Your debts'!$C$19-(G309+L309+Q309+V309+AA309+AF309+AK309+AP309+AU309+AZ309))-(IF(AND('Your debts'!$F$6&lt;&gt;"",'Your debts'!$F$13&lt;&gt;"",'Your debts'!$F$6&lt;'Your debts'!$F$13),H309,0)+IF(AND('Your debts'!$F$7&lt;&gt;"",'Your debts'!$F$13&lt;&gt;"",'Your debts'!$F$7&lt;'Your debts'!$F$13),M309,0)+IF(AND('Your debts'!$F$8&lt;&gt;"",'Your debts'!$F$13&lt;&gt;"",'Your debts'!$F$8&lt;'Your debts'!$F$13),R309,0)+IF(AND('Your debts'!$F$9&lt;&gt;"",'Your debts'!$F$13&lt;&gt;"",'Your debts'!$F$9&lt;'Your debts'!$F$13),W309,0)+IF(AND('Your debts'!$F$10&lt;&gt;"",'Your debts'!$F$13&lt;&gt;"",'Your debts'!$F$10&lt;'Your debts'!$F$13),AB309,0)+IF(AND('Your debts'!$F$11&lt;&gt;"",'Your debts'!$F$13&lt;&gt;"",'Your debts'!$F$11&lt;'Your debts'!$F$13),AG309,0)+IF(AND('Your debts'!$F$12&lt;&gt;"",'Your debts'!$F$13&lt;&gt;"",'Your debts'!$F$12&lt;'Your debts'!$F$13),AL309,0)+IF(AND('Your debts'!$F$14&lt;&gt;"",'Your debts'!$F$13&lt;&gt;"",'Your debts'!$F$14&lt;'Your debts'!$F$13),AV309,0)+IF(AND('Your debts'!$F$15&lt;&gt;"",'Your debts'!$F$13&lt;&gt;"",'Your debts'!$F$15&lt;'Your debts'!$F$13),BA309,0)))))</f>
        <v/>
      </c>
      <c r="AS309" s="33">
        <f>AQ309-AR309</f>
        <v/>
      </c>
      <c r="AT309" s="33">
        <f>IF(AX308&lt;=0,0,ROUND(AX308*(1+'Your debts'!$D$14/1200),2))</f>
        <v/>
      </c>
      <c r="AU309" s="33">
        <f>IF(AT309&lt;=0,0,MIN('Your debts'!$E$14,AT309))</f>
        <v/>
      </c>
      <c r="AV309" s="33">
        <f>AT309-AU309</f>
        <v/>
      </c>
      <c r="AW309" s="33">
        <f>IF('Your debts'!$F$14="",0,MIN(AV309,MAX(0,MAX(0,'Your debts'!$C$19-(G309+L309+Q309+V309+AA309+AF309+AK309+AP309+AU309+AZ309))-(IF(AND('Your debts'!$F$6&lt;&gt;"",'Your debts'!$F$14&lt;&gt;"",'Your debts'!$F$6&lt;'Your debts'!$F$14),H309,0)+IF(AND('Your debts'!$F$7&lt;&gt;"",'Your debts'!$F$14&lt;&gt;"",'Your debts'!$F$7&lt;'Your debts'!$F$14),M309,0)+IF(AND('Your debts'!$F$8&lt;&gt;"",'Your debts'!$F$14&lt;&gt;"",'Your debts'!$F$8&lt;'Your debts'!$F$14),R309,0)+IF(AND('Your debts'!$F$9&lt;&gt;"",'Your debts'!$F$14&lt;&gt;"",'Your debts'!$F$9&lt;'Your debts'!$F$14),W309,0)+IF(AND('Your debts'!$F$10&lt;&gt;"",'Your debts'!$F$14&lt;&gt;"",'Your debts'!$F$10&lt;'Your debts'!$F$14),AB309,0)+IF(AND('Your debts'!$F$11&lt;&gt;"",'Your debts'!$F$14&lt;&gt;"",'Your debts'!$F$11&lt;'Your debts'!$F$14),AG309,0)+IF(AND('Your debts'!$F$12&lt;&gt;"",'Your debts'!$F$14&lt;&gt;"",'Your debts'!$F$12&lt;'Your debts'!$F$14),AL309,0)+IF(AND('Your debts'!$F$13&lt;&gt;"",'Your debts'!$F$14&lt;&gt;"",'Your debts'!$F$13&lt;'Your debts'!$F$14),AQ309,0)+IF(AND('Your debts'!$F$15&lt;&gt;"",'Your debts'!$F$14&lt;&gt;"",'Your debts'!$F$15&lt;'Your debts'!$F$14),BA309,0)))))</f>
        <v/>
      </c>
      <c r="AX309" s="33">
        <f>AV309-AW309</f>
        <v/>
      </c>
      <c r="AY309" s="33">
        <f>IF(BC308&lt;=0,0,ROUND(BC308*(1+'Your debts'!$D$15/1200),2))</f>
        <v/>
      </c>
      <c r="AZ309" s="33">
        <f>IF(AY309&lt;=0,0,MIN('Your debts'!$E$15,AY309))</f>
        <v/>
      </c>
      <c r="BA309" s="33">
        <f>AY309-AZ309</f>
        <v/>
      </c>
      <c r="BB309" s="33">
        <f>IF('Your debts'!$F$15="",0,MIN(BA309,MAX(0,MAX(0,'Your debts'!$C$19-(G309+L309+Q309+V309+AA309+AF309+AK309+AP309+AU309+AZ309))-(IF(AND('Your debts'!$F$6&lt;&gt;"",'Your debts'!$F$15&lt;&gt;"",'Your debts'!$F$6&lt;'Your debts'!$F$15),H309,0)+IF(AND('Your debts'!$F$7&lt;&gt;"",'Your debts'!$F$15&lt;&gt;"",'Your debts'!$F$7&lt;'Your debts'!$F$15),M309,0)+IF(AND('Your debts'!$F$8&lt;&gt;"",'Your debts'!$F$15&lt;&gt;"",'Your debts'!$F$8&lt;'Your debts'!$F$15),R309,0)+IF(AND('Your debts'!$F$9&lt;&gt;"",'Your debts'!$F$15&lt;&gt;"",'Your debts'!$F$9&lt;'Your debts'!$F$15),W309,0)+IF(AND('Your debts'!$F$10&lt;&gt;"",'Your debts'!$F$15&lt;&gt;"",'Your debts'!$F$10&lt;'Your debts'!$F$15),AB309,0)+IF(AND('Your debts'!$F$11&lt;&gt;"",'Your debts'!$F$15&lt;&gt;"",'Your debts'!$F$11&lt;'Your debts'!$F$15),AG309,0)+IF(AND('Your debts'!$F$12&lt;&gt;"",'Your debts'!$F$15&lt;&gt;"",'Your debts'!$F$12&lt;'Your debts'!$F$15),AL309,0)+IF(AND('Your debts'!$F$13&lt;&gt;"",'Your debts'!$F$15&lt;&gt;"",'Your debts'!$F$13&lt;'Your debts'!$F$15),AQ309,0)+IF(AND('Your debts'!$F$14&lt;&gt;"",'Your debts'!$F$15&lt;&gt;"",'Your debts'!$F$14&lt;'Your debts'!$F$15),AV309,0)))))</f>
        <v/>
      </c>
      <c r="BC309" s="33">
        <f>BA309-BB309</f>
        <v/>
      </c>
    </row>
    <row r="310">
      <c r="A310" s="30" t="n">
        <v>295</v>
      </c>
      <c r="B310" s="31">
        <f>EDATE($B$15,295)</f>
        <v/>
      </c>
      <c r="C310" s="32">
        <f>IF(J309&lt;=0,0,F310-J309)+IF(O309&lt;=0,0,K310-O309)+IF(T309&lt;=0,0,P310-T309)+IF(Y309&lt;=0,0,U310-Y309)+IF(AD309&lt;=0,0,Z310-AD309)+IF(AI309&lt;=0,0,AE310-AI309)+IF(AN309&lt;=0,0,AJ310-AN309)+IF(AS309&lt;=0,0,AO310-AS309)+IF(AX309&lt;=0,0,AT310-AX309)+IF(BC309&lt;=0,0,AY310-BC309)</f>
        <v/>
      </c>
      <c r="D310" s="32">
        <f>G310+I310+L310+N310+Q310+S310+V310+X310+AA310+AC310+AF310+AH310+AK310+AM310+AP310+AR310+AU310+AW310+AZ310+BB310</f>
        <v/>
      </c>
      <c r="E310" s="32">
        <f>J310+O310+T310+Y310+AD310+AI310+AN310+AS310+AX310+BC310</f>
        <v/>
      </c>
      <c r="F310" s="33">
        <f>IF(J309&lt;=0,0,ROUND(J309*(1+'Your debts'!$D$6/1200),2))</f>
        <v/>
      </c>
      <c r="G310" s="33">
        <f>IF(F310&lt;=0,0,MIN('Your debts'!$E$6,F310))</f>
        <v/>
      </c>
      <c r="H310" s="33">
        <f>F310-G310</f>
        <v/>
      </c>
      <c r="I310" s="33">
        <f>IF('Your debts'!$F$6="",0,MIN(H310,MAX(0,MAX(0,'Your debts'!$C$19-(G310+L310+Q310+V310+AA310+AF310+AK310+AP310+AU310+AZ310))-(IF(AND('Your debts'!$F$7&lt;&gt;"",'Your debts'!$F$6&lt;&gt;"",'Your debts'!$F$7&lt;'Your debts'!$F$6),M310,0)+IF(AND('Your debts'!$F$8&lt;&gt;"",'Your debts'!$F$6&lt;&gt;"",'Your debts'!$F$8&lt;'Your debts'!$F$6),R310,0)+IF(AND('Your debts'!$F$9&lt;&gt;"",'Your debts'!$F$6&lt;&gt;"",'Your debts'!$F$9&lt;'Your debts'!$F$6),W310,0)+IF(AND('Your debts'!$F$10&lt;&gt;"",'Your debts'!$F$6&lt;&gt;"",'Your debts'!$F$10&lt;'Your debts'!$F$6),AB310,0)+IF(AND('Your debts'!$F$11&lt;&gt;"",'Your debts'!$F$6&lt;&gt;"",'Your debts'!$F$11&lt;'Your debts'!$F$6),AG310,0)+IF(AND('Your debts'!$F$12&lt;&gt;"",'Your debts'!$F$6&lt;&gt;"",'Your debts'!$F$12&lt;'Your debts'!$F$6),AL310,0)+IF(AND('Your debts'!$F$13&lt;&gt;"",'Your debts'!$F$6&lt;&gt;"",'Your debts'!$F$13&lt;'Your debts'!$F$6),AQ310,0)+IF(AND('Your debts'!$F$14&lt;&gt;"",'Your debts'!$F$6&lt;&gt;"",'Your debts'!$F$14&lt;'Your debts'!$F$6),AV310,0)+IF(AND('Your debts'!$F$15&lt;&gt;"",'Your debts'!$F$6&lt;&gt;"",'Your debts'!$F$15&lt;'Your debts'!$F$6),BA310,0)))))</f>
        <v/>
      </c>
      <c r="J310" s="33">
        <f>H310-I310</f>
        <v/>
      </c>
      <c r="K310" s="33">
        <f>IF(O309&lt;=0,0,ROUND(O309*(1+'Your debts'!$D$7/1200),2))</f>
        <v/>
      </c>
      <c r="L310" s="33">
        <f>IF(K310&lt;=0,0,MIN('Your debts'!$E$7,K310))</f>
        <v/>
      </c>
      <c r="M310" s="33">
        <f>K310-L310</f>
        <v/>
      </c>
      <c r="N310" s="33">
        <f>IF('Your debts'!$F$7="",0,MIN(M310,MAX(0,MAX(0,'Your debts'!$C$19-(G310+L310+Q310+V310+AA310+AF310+AK310+AP310+AU310+AZ310))-(IF(AND('Your debts'!$F$6&lt;&gt;"",'Your debts'!$F$7&lt;&gt;"",'Your debts'!$F$6&lt;'Your debts'!$F$7),H310,0)+IF(AND('Your debts'!$F$8&lt;&gt;"",'Your debts'!$F$7&lt;&gt;"",'Your debts'!$F$8&lt;'Your debts'!$F$7),R310,0)+IF(AND('Your debts'!$F$9&lt;&gt;"",'Your debts'!$F$7&lt;&gt;"",'Your debts'!$F$9&lt;'Your debts'!$F$7),W310,0)+IF(AND('Your debts'!$F$10&lt;&gt;"",'Your debts'!$F$7&lt;&gt;"",'Your debts'!$F$10&lt;'Your debts'!$F$7),AB310,0)+IF(AND('Your debts'!$F$11&lt;&gt;"",'Your debts'!$F$7&lt;&gt;"",'Your debts'!$F$11&lt;'Your debts'!$F$7),AG310,0)+IF(AND('Your debts'!$F$12&lt;&gt;"",'Your debts'!$F$7&lt;&gt;"",'Your debts'!$F$12&lt;'Your debts'!$F$7),AL310,0)+IF(AND('Your debts'!$F$13&lt;&gt;"",'Your debts'!$F$7&lt;&gt;"",'Your debts'!$F$13&lt;'Your debts'!$F$7),AQ310,0)+IF(AND('Your debts'!$F$14&lt;&gt;"",'Your debts'!$F$7&lt;&gt;"",'Your debts'!$F$14&lt;'Your debts'!$F$7),AV310,0)+IF(AND('Your debts'!$F$15&lt;&gt;"",'Your debts'!$F$7&lt;&gt;"",'Your debts'!$F$15&lt;'Your debts'!$F$7),BA310,0)))))</f>
        <v/>
      </c>
      <c r="O310" s="33">
        <f>M310-N310</f>
        <v/>
      </c>
      <c r="P310" s="33">
        <f>IF(T309&lt;=0,0,ROUND(T309*(1+'Your debts'!$D$8/1200),2))</f>
        <v/>
      </c>
      <c r="Q310" s="33">
        <f>IF(P310&lt;=0,0,MIN('Your debts'!$E$8,P310))</f>
        <v/>
      </c>
      <c r="R310" s="33">
        <f>P310-Q310</f>
        <v/>
      </c>
      <c r="S310" s="33">
        <f>IF('Your debts'!$F$8="",0,MIN(R310,MAX(0,MAX(0,'Your debts'!$C$19-(G310+L310+Q310+V310+AA310+AF310+AK310+AP310+AU310+AZ310))-(IF(AND('Your debts'!$F$6&lt;&gt;"",'Your debts'!$F$8&lt;&gt;"",'Your debts'!$F$6&lt;'Your debts'!$F$8),H310,0)+IF(AND('Your debts'!$F$7&lt;&gt;"",'Your debts'!$F$8&lt;&gt;"",'Your debts'!$F$7&lt;'Your debts'!$F$8),M310,0)+IF(AND('Your debts'!$F$9&lt;&gt;"",'Your debts'!$F$8&lt;&gt;"",'Your debts'!$F$9&lt;'Your debts'!$F$8),W310,0)+IF(AND('Your debts'!$F$10&lt;&gt;"",'Your debts'!$F$8&lt;&gt;"",'Your debts'!$F$10&lt;'Your debts'!$F$8),AB310,0)+IF(AND('Your debts'!$F$11&lt;&gt;"",'Your debts'!$F$8&lt;&gt;"",'Your debts'!$F$11&lt;'Your debts'!$F$8),AG310,0)+IF(AND('Your debts'!$F$12&lt;&gt;"",'Your debts'!$F$8&lt;&gt;"",'Your debts'!$F$12&lt;'Your debts'!$F$8),AL310,0)+IF(AND('Your debts'!$F$13&lt;&gt;"",'Your debts'!$F$8&lt;&gt;"",'Your debts'!$F$13&lt;'Your debts'!$F$8),AQ310,0)+IF(AND('Your debts'!$F$14&lt;&gt;"",'Your debts'!$F$8&lt;&gt;"",'Your debts'!$F$14&lt;'Your debts'!$F$8),AV310,0)+IF(AND('Your debts'!$F$15&lt;&gt;"",'Your debts'!$F$8&lt;&gt;"",'Your debts'!$F$15&lt;'Your debts'!$F$8),BA310,0)))))</f>
        <v/>
      </c>
      <c r="T310" s="33">
        <f>R310-S310</f>
        <v/>
      </c>
      <c r="U310" s="33">
        <f>IF(Y309&lt;=0,0,ROUND(Y309*(1+'Your debts'!$D$9/1200),2))</f>
        <v/>
      </c>
      <c r="V310" s="33">
        <f>IF(U310&lt;=0,0,MIN('Your debts'!$E$9,U310))</f>
        <v/>
      </c>
      <c r="W310" s="33">
        <f>U310-V310</f>
        <v/>
      </c>
      <c r="X310" s="33">
        <f>IF('Your debts'!$F$9="",0,MIN(W310,MAX(0,MAX(0,'Your debts'!$C$19-(G310+L310+Q310+V310+AA310+AF310+AK310+AP310+AU310+AZ310))-(IF(AND('Your debts'!$F$6&lt;&gt;"",'Your debts'!$F$9&lt;&gt;"",'Your debts'!$F$6&lt;'Your debts'!$F$9),H310,0)+IF(AND('Your debts'!$F$7&lt;&gt;"",'Your debts'!$F$9&lt;&gt;"",'Your debts'!$F$7&lt;'Your debts'!$F$9),M310,0)+IF(AND('Your debts'!$F$8&lt;&gt;"",'Your debts'!$F$9&lt;&gt;"",'Your debts'!$F$8&lt;'Your debts'!$F$9),R310,0)+IF(AND('Your debts'!$F$10&lt;&gt;"",'Your debts'!$F$9&lt;&gt;"",'Your debts'!$F$10&lt;'Your debts'!$F$9),AB310,0)+IF(AND('Your debts'!$F$11&lt;&gt;"",'Your debts'!$F$9&lt;&gt;"",'Your debts'!$F$11&lt;'Your debts'!$F$9),AG310,0)+IF(AND('Your debts'!$F$12&lt;&gt;"",'Your debts'!$F$9&lt;&gt;"",'Your debts'!$F$12&lt;'Your debts'!$F$9),AL310,0)+IF(AND('Your debts'!$F$13&lt;&gt;"",'Your debts'!$F$9&lt;&gt;"",'Your debts'!$F$13&lt;'Your debts'!$F$9),AQ310,0)+IF(AND('Your debts'!$F$14&lt;&gt;"",'Your debts'!$F$9&lt;&gt;"",'Your debts'!$F$14&lt;'Your debts'!$F$9),AV310,0)+IF(AND('Your debts'!$F$15&lt;&gt;"",'Your debts'!$F$9&lt;&gt;"",'Your debts'!$F$15&lt;'Your debts'!$F$9),BA310,0)))))</f>
        <v/>
      </c>
      <c r="Y310" s="33">
        <f>W310-X310</f>
        <v/>
      </c>
      <c r="Z310" s="33">
        <f>IF(AD309&lt;=0,0,ROUND(AD309*(1+'Your debts'!$D$10/1200),2))</f>
        <v/>
      </c>
      <c r="AA310" s="33">
        <f>IF(Z310&lt;=0,0,MIN('Your debts'!$E$10,Z310))</f>
        <v/>
      </c>
      <c r="AB310" s="33">
        <f>Z310-AA310</f>
        <v/>
      </c>
      <c r="AC310" s="33">
        <f>IF('Your debts'!$F$10="",0,MIN(AB310,MAX(0,MAX(0,'Your debts'!$C$19-(G310+L310+Q310+V310+AA310+AF310+AK310+AP310+AU310+AZ310))-(IF(AND('Your debts'!$F$6&lt;&gt;"",'Your debts'!$F$10&lt;&gt;"",'Your debts'!$F$6&lt;'Your debts'!$F$10),H310,0)+IF(AND('Your debts'!$F$7&lt;&gt;"",'Your debts'!$F$10&lt;&gt;"",'Your debts'!$F$7&lt;'Your debts'!$F$10),M310,0)+IF(AND('Your debts'!$F$8&lt;&gt;"",'Your debts'!$F$10&lt;&gt;"",'Your debts'!$F$8&lt;'Your debts'!$F$10),R310,0)+IF(AND('Your debts'!$F$9&lt;&gt;"",'Your debts'!$F$10&lt;&gt;"",'Your debts'!$F$9&lt;'Your debts'!$F$10),W310,0)+IF(AND('Your debts'!$F$11&lt;&gt;"",'Your debts'!$F$10&lt;&gt;"",'Your debts'!$F$11&lt;'Your debts'!$F$10),AG310,0)+IF(AND('Your debts'!$F$12&lt;&gt;"",'Your debts'!$F$10&lt;&gt;"",'Your debts'!$F$12&lt;'Your debts'!$F$10),AL310,0)+IF(AND('Your debts'!$F$13&lt;&gt;"",'Your debts'!$F$10&lt;&gt;"",'Your debts'!$F$13&lt;'Your debts'!$F$10),AQ310,0)+IF(AND('Your debts'!$F$14&lt;&gt;"",'Your debts'!$F$10&lt;&gt;"",'Your debts'!$F$14&lt;'Your debts'!$F$10),AV310,0)+IF(AND('Your debts'!$F$15&lt;&gt;"",'Your debts'!$F$10&lt;&gt;"",'Your debts'!$F$15&lt;'Your debts'!$F$10),BA310,0)))))</f>
        <v/>
      </c>
      <c r="AD310" s="33">
        <f>AB310-AC310</f>
        <v/>
      </c>
      <c r="AE310" s="33">
        <f>IF(AI309&lt;=0,0,ROUND(AI309*(1+'Your debts'!$D$11/1200),2))</f>
        <v/>
      </c>
      <c r="AF310" s="33">
        <f>IF(AE310&lt;=0,0,MIN('Your debts'!$E$11,AE310))</f>
        <v/>
      </c>
      <c r="AG310" s="33">
        <f>AE310-AF310</f>
        <v/>
      </c>
      <c r="AH310" s="33">
        <f>IF('Your debts'!$F$11="",0,MIN(AG310,MAX(0,MAX(0,'Your debts'!$C$19-(G310+L310+Q310+V310+AA310+AF310+AK310+AP310+AU310+AZ310))-(IF(AND('Your debts'!$F$6&lt;&gt;"",'Your debts'!$F$11&lt;&gt;"",'Your debts'!$F$6&lt;'Your debts'!$F$11),H310,0)+IF(AND('Your debts'!$F$7&lt;&gt;"",'Your debts'!$F$11&lt;&gt;"",'Your debts'!$F$7&lt;'Your debts'!$F$11),M310,0)+IF(AND('Your debts'!$F$8&lt;&gt;"",'Your debts'!$F$11&lt;&gt;"",'Your debts'!$F$8&lt;'Your debts'!$F$11),R310,0)+IF(AND('Your debts'!$F$9&lt;&gt;"",'Your debts'!$F$11&lt;&gt;"",'Your debts'!$F$9&lt;'Your debts'!$F$11),W310,0)+IF(AND('Your debts'!$F$10&lt;&gt;"",'Your debts'!$F$11&lt;&gt;"",'Your debts'!$F$10&lt;'Your debts'!$F$11),AB310,0)+IF(AND('Your debts'!$F$12&lt;&gt;"",'Your debts'!$F$11&lt;&gt;"",'Your debts'!$F$12&lt;'Your debts'!$F$11),AL310,0)+IF(AND('Your debts'!$F$13&lt;&gt;"",'Your debts'!$F$11&lt;&gt;"",'Your debts'!$F$13&lt;'Your debts'!$F$11),AQ310,0)+IF(AND('Your debts'!$F$14&lt;&gt;"",'Your debts'!$F$11&lt;&gt;"",'Your debts'!$F$14&lt;'Your debts'!$F$11),AV310,0)+IF(AND('Your debts'!$F$15&lt;&gt;"",'Your debts'!$F$11&lt;&gt;"",'Your debts'!$F$15&lt;'Your debts'!$F$11),BA310,0)))))</f>
        <v/>
      </c>
      <c r="AI310" s="33">
        <f>AG310-AH310</f>
        <v/>
      </c>
      <c r="AJ310" s="33">
        <f>IF(AN309&lt;=0,0,ROUND(AN309*(1+'Your debts'!$D$12/1200),2))</f>
        <v/>
      </c>
      <c r="AK310" s="33">
        <f>IF(AJ310&lt;=0,0,MIN('Your debts'!$E$12,AJ310))</f>
        <v/>
      </c>
      <c r="AL310" s="33">
        <f>AJ310-AK310</f>
        <v/>
      </c>
      <c r="AM310" s="33">
        <f>IF('Your debts'!$F$12="",0,MIN(AL310,MAX(0,MAX(0,'Your debts'!$C$19-(G310+L310+Q310+V310+AA310+AF310+AK310+AP310+AU310+AZ310))-(IF(AND('Your debts'!$F$6&lt;&gt;"",'Your debts'!$F$12&lt;&gt;"",'Your debts'!$F$6&lt;'Your debts'!$F$12),H310,0)+IF(AND('Your debts'!$F$7&lt;&gt;"",'Your debts'!$F$12&lt;&gt;"",'Your debts'!$F$7&lt;'Your debts'!$F$12),M310,0)+IF(AND('Your debts'!$F$8&lt;&gt;"",'Your debts'!$F$12&lt;&gt;"",'Your debts'!$F$8&lt;'Your debts'!$F$12),R310,0)+IF(AND('Your debts'!$F$9&lt;&gt;"",'Your debts'!$F$12&lt;&gt;"",'Your debts'!$F$9&lt;'Your debts'!$F$12),W310,0)+IF(AND('Your debts'!$F$10&lt;&gt;"",'Your debts'!$F$12&lt;&gt;"",'Your debts'!$F$10&lt;'Your debts'!$F$12),AB310,0)+IF(AND('Your debts'!$F$11&lt;&gt;"",'Your debts'!$F$12&lt;&gt;"",'Your debts'!$F$11&lt;'Your debts'!$F$12),AG310,0)+IF(AND('Your debts'!$F$13&lt;&gt;"",'Your debts'!$F$12&lt;&gt;"",'Your debts'!$F$13&lt;'Your debts'!$F$12),AQ310,0)+IF(AND('Your debts'!$F$14&lt;&gt;"",'Your debts'!$F$12&lt;&gt;"",'Your debts'!$F$14&lt;'Your debts'!$F$12),AV310,0)+IF(AND('Your debts'!$F$15&lt;&gt;"",'Your debts'!$F$12&lt;&gt;"",'Your debts'!$F$15&lt;'Your debts'!$F$12),BA310,0)))))</f>
        <v/>
      </c>
      <c r="AN310" s="33">
        <f>AL310-AM310</f>
        <v/>
      </c>
      <c r="AO310" s="33">
        <f>IF(AS309&lt;=0,0,ROUND(AS309*(1+'Your debts'!$D$13/1200),2))</f>
        <v/>
      </c>
      <c r="AP310" s="33">
        <f>IF(AO310&lt;=0,0,MIN('Your debts'!$E$13,AO310))</f>
        <v/>
      </c>
      <c r="AQ310" s="33">
        <f>AO310-AP310</f>
        <v/>
      </c>
      <c r="AR310" s="33">
        <f>IF('Your debts'!$F$13="",0,MIN(AQ310,MAX(0,MAX(0,'Your debts'!$C$19-(G310+L310+Q310+V310+AA310+AF310+AK310+AP310+AU310+AZ310))-(IF(AND('Your debts'!$F$6&lt;&gt;"",'Your debts'!$F$13&lt;&gt;"",'Your debts'!$F$6&lt;'Your debts'!$F$13),H310,0)+IF(AND('Your debts'!$F$7&lt;&gt;"",'Your debts'!$F$13&lt;&gt;"",'Your debts'!$F$7&lt;'Your debts'!$F$13),M310,0)+IF(AND('Your debts'!$F$8&lt;&gt;"",'Your debts'!$F$13&lt;&gt;"",'Your debts'!$F$8&lt;'Your debts'!$F$13),R310,0)+IF(AND('Your debts'!$F$9&lt;&gt;"",'Your debts'!$F$13&lt;&gt;"",'Your debts'!$F$9&lt;'Your debts'!$F$13),W310,0)+IF(AND('Your debts'!$F$10&lt;&gt;"",'Your debts'!$F$13&lt;&gt;"",'Your debts'!$F$10&lt;'Your debts'!$F$13),AB310,0)+IF(AND('Your debts'!$F$11&lt;&gt;"",'Your debts'!$F$13&lt;&gt;"",'Your debts'!$F$11&lt;'Your debts'!$F$13),AG310,0)+IF(AND('Your debts'!$F$12&lt;&gt;"",'Your debts'!$F$13&lt;&gt;"",'Your debts'!$F$12&lt;'Your debts'!$F$13),AL310,0)+IF(AND('Your debts'!$F$14&lt;&gt;"",'Your debts'!$F$13&lt;&gt;"",'Your debts'!$F$14&lt;'Your debts'!$F$13),AV310,0)+IF(AND('Your debts'!$F$15&lt;&gt;"",'Your debts'!$F$13&lt;&gt;"",'Your debts'!$F$15&lt;'Your debts'!$F$13),BA310,0)))))</f>
        <v/>
      </c>
      <c r="AS310" s="33">
        <f>AQ310-AR310</f>
        <v/>
      </c>
      <c r="AT310" s="33">
        <f>IF(AX309&lt;=0,0,ROUND(AX309*(1+'Your debts'!$D$14/1200),2))</f>
        <v/>
      </c>
      <c r="AU310" s="33">
        <f>IF(AT310&lt;=0,0,MIN('Your debts'!$E$14,AT310))</f>
        <v/>
      </c>
      <c r="AV310" s="33">
        <f>AT310-AU310</f>
        <v/>
      </c>
      <c r="AW310" s="33">
        <f>IF('Your debts'!$F$14="",0,MIN(AV310,MAX(0,MAX(0,'Your debts'!$C$19-(G310+L310+Q310+V310+AA310+AF310+AK310+AP310+AU310+AZ310))-(IF(AND('Your debts'!$F$6&lt;&gt;"",'Your debts'!$F$14&lt;&gt;"",'Your debts'!$F$6&lt;'Your debts'!$F$14),H310,0)+IF(AND('Your debts'!$F$7&lt;&gt;"",'Your debts'!$F$14&lt;&gt;"",'Your debts'!$F$7&lt;'Your debts'!$F$14),M310,0)+IF(AND('Your debts'!$F$8&lt;&gt;"",'Your debts'!$F$14&lt;&gt;"",'Your debts'!$F$8&lt;'Your debts'!$F$14),R310,0)+IF(AND('Your debts'!$F$9&lt;&gt;"",'Your debts'!$F$14&lt;&gt;"",'Your debts'!$F$9&lt;'Your debts'!$F$14),W310,0)+IF(AND('Your debts'!$F$10&lt;&gt;"",'Your debts'!$F$14&lt;&gt;"",'Your debts'!$F$10&lt;'Your debts'!$F$14),AB310,0)+IF(AND('Your debts'!$F$11&lt;&gt;"",'Your debts'!$F$14&lt;&gt;"",'Your debts'!$F$11&lt;'Your debts'!$F$14),AG310,0)+IF(AND('Your debts'!$F$12&lt;&gt;"",'Your debts'!$F$14&lt;&gt;"",'Your debts'!$F$12&lt;'Your debts'!$F$14),AL310,0)+IF(AND('Your debts'!$F$13&lt;&gt;"",'Your debts'!$F$14&lt;&gt;"",'Your debts'!$F$13&lt;'Your debts'!$F$14),AQ310,0)+IF(AND('Your debts'!$F$15&lt;&gt;"",'Your debts'!$F$14&lt;&gt;"",'Your debts'!$F$15&lt;'Your debts'!$F$14),BA310,0)))))</f>
        <v/>
      </c>
      <c r="AX310" s="33">
        <f>AV310-AW310</f>
        <v/>
      </c>
      <c r="AY310" s="33">
        <f>IF(BC309&lt;=0,0,ROUND(BC309*(1+'Your debts'!$D$15/1200),2))</f>
        <v/>
      </c>
      <c r="AZ310" s="33">
        <f>IF(AY310&lt;=0,0,MIN('Your debts'!$E$15,AY310))</f>
        <v/>
      </c>
      <c r="BA310" s="33">
        <f>AY310-AZ310</f>
        <v/>
      </c>
      <c r="BB310" s="33">
        <f>IF('Your debts'!$F$15="",0,MIN(BA310,MAX(0,MAX(0,'Your debts'!$C$19-(G310+L310+Q310+V310+AA310+AF310+AK310+AP310+AU310+AZ310))-(IF(AND('Your debts'!$F$6&lt;&gt;"",'Your debts'!$F$15&lt;&gt;"",'Your debts'!$F$6&lt;'Your debts'!$F$15),H310,0)+IF(AND('Your debts'!$F$7&lt;&gt;"",'Your debts'!$F$15&lt;&gt;"",'Your debts'!$F$7&lt;'Your debts'!$F$15),M310,0)+IF(AND('Your debts'!$F$8&lt;&gt;"",'Your debts'!$F$15&lt;&gt;"",'Your debts'!$F$8&lt;'Your debts'!$F$15),R310,0)+IF(AND('Your debts'!$F$9&lt;&gt;"",'Your debts'!$F$15&lt;&gt;"",'Your debts'!$F$9&lt;'Your debts'!$F$15),W310,0)+IF(AND('Your debts'!$F$10&lt;&gt;"",'Your debts'!$F$15&lt;&gt;"",'Your debts'!$F$10&lt;'Your debts'!$F$15),AB310,0)+IF(AND('Your debts'!$F$11&lt;&gt;"",'Your debts'!$F$15&lt;&gt;"",'Your debts'!$F$11&lt;'Your debts'!$F$15),AG310,0)+IF(AND('Your debts'!$F$12&lt;&gt;"",'Your debts'!$F$15&lt;&gt;"",'Your debts'!$F$12&lt;'Your debts'!$F$15),AL310,0)+IF(AND('Your debts'!$F$13&lt;&gt;"",'Your debts'!$F$15&lt;&gt;"",'Your debts'!$F$13&lt;'Your debts'!$F$15),AQ310,0)+IF(AND('Your debts'!$F$14&lt;&gt;"",'Your debts'!$F$15&lt;&gt;"",'Your debts'!$F$14&lt;'Your debts'!$F$15),AV310,0)))))</f>
        <v/>
      </c>
      <c r="BC310" s="33">
        <f>BA310-BB310</f>
        <v/>
      </c>
    </row>
    <row r="311">
      <c r="A311" s="30" t="n">
        <v>296</v>
      </c>
      <c r="B311" s="31">
        <f>EDATE($B$15,296)</f>
        <v/>
      </c>
      <c r="C311" s="32">
        <f>IF(J310&lt;=0,0,F311-J310)+IF(O310&lt;=0,0,K311-O310)+IF(T310&lt;=0,0,P311-T310)+IF(Y310&lt;=0,0,U311-Y310)+IF(AD310&lt;=0,0,Z311-AD310)+IF(AI310&lt;=0,0,AE311-AI310)+IF(AN310&lt;=0,0,AJ311-AN310)+IF(AS310&lt;=0,0,AO311-AS310)+IF(AX310&lt;=0,0,AT311-AX310)+IF(BC310&lt;=0,0,AY311-BC310)</f>
        <v/>
      </c>
      <c r="D311" s="32">
        <f>G311+I311+L311+N311+Q311+S311+V311+X311+AA311+AC311+AF311+AH311+AK311+AM311+AP311+AR311+AU311+AW311+AZ311+BB311</f>
        <v/>
      </c>
      <c r="E311" s="32">
        <f>J311+O311+T311+Y311+AD311+AI311+AN311+AS311+AX311+BC311</f>
        <v/>
      </c>
      <c r="F311" s="33">
        <f>IF(J310&lt;=0,0,ROUND(J310*(1+'Your debts'!$D$6/1200),2))</f>
        <v/>
      </c>
      <c r="G311" s="33">
        <f>IF(F311&lt;=0,0,MIN('Your debts'!$E$6,F311))</f>
        <v/>
      </c>
      <c r="H311" s="33">
        <f>F311-G311</f>
        <v/>
      </c>
      <c r="I311" s="33">
        <f>IF('Your debts'!$F$6="",0,MIN(H311,MAX(0,MAX(0,'Your debts'!$C$19-(G311+L311+Q311+V311+AA311+AF311+AK311+AP311+AU311+AZ311))-(IF(AND('Your debts'!$F$7&lt;&gt;"",'Your debts'!$F$6&lt;&gt;"",'Your debts'!$F$7&lt;'Your debts'!$F$6),M311,0)+IF(AND('Your debts'!$F$8&lt;&gt;"",'Your debts'!$F$6&lt;&gt;"",'Your debts'!$F$8&lt;'Your debts'!$F$6),R311,0)+IF(AND('Your debts'!$F$9&lt;&gt;"",'Your debts'!$F$6&lt;&gt;"",'Your debts'!$F$9&lt;'Your debts'!$F$6),W311,0)+IF(AND('Your debts'!$F$10&lt;&gt;"",'Your debts'!$F$6&lt;&gt;"",'Your debts'!$F$10&lt;'Your debts'!$F$6),AB311,0)+IF(AND('Your debts'!$F$11&lt;&gt;"",'Your debts'!$F$6&lt;&gt;"",'Your debts'!$F$11&lt;'Your debts'!$F$6),AG311,0)+IF(AND('Your debts'!$F$12&lt;&gt;"",'Your debts'!$F$6&lt;&gt;"",'Your debts'!$F$12&lt;'Your debts'!$F$6),AL311,0)+IF(AND('Your debts'!$F$13&lt;&gt;"",'Your debts'!$F$6&lt;&gt;"",'Your debts'!$F$13&lt;'Your debts'!$F$6),AQ311,0)+IF(AND('Your debts'!$F$14&lt;&gt;"",'Your debts'!$F$6&lt;&gt;"",'Your debts'!$F$14&lt;'Your debts'!$F$6),AV311,0)+IF(AND('Your debts'!$F$15&lt;&gt;"",'Your debts'!$F$6&lt;&gt;"",'Your debts'!$F$15&lt;'Your debts'!$F$6),BA311,0)))))</f>
        <v/>
      </c>
      <c r="J311" s="33">
        <f>H311-I311</f>
        <v/>
      </c>
      <c r="K311" s="33">
        <f>IF(O310&lt;=0,0,ROUND(O310*(1+'Your debts'!$D$7/1200),2))</f>
        <v/>
      </c>
      <c r="L311" s="33">
        <f>IF(K311&lt;=0,0,MIN('Your debts'!$E$7,K311))</f>
        <v/>
      </c>
      <c r="M311" s="33">
        <f>K311-L311</f>
        <v/>
      </c>
      <c r="N311" s="33">
        <f>IF('Your debts'!$F$7="",0,MIN(M311,MAX(0,MAX(0,'Your debts'!$C$19-(G311+L311+Q311+V311+AA311+AF311+AK311+AP311+AU311+AZ311))-(IF(AND('Your debts'!$F$6&lt;&gt;"",'Your debts'!$F$7&lt;&gt;"",'Your debts'!$F$6&lt;'Your debts'!$F$7),H311,0)+IF(AND('Your debts'!$F$8&lt;&gt;"",'Your debts'!$F$7&lt;&gt;"",'Your debts'!$F$8&lt;'Your debts'!$F$7),R311,0)+IF(AND('Your debts'!$F$9&lt;&gt;"",'Your debts'!$F$7&lt;&gt;"",'Your debts'!$F$9&lt;'Your debts'!$F$7),W311,0)+IF(AND('Your debts'!$F$10&lt;&gt;"",'Your debts'!$F$7&lt;&gt;"",'Your debts'!$F$10&lt;'Your debts'!$F$7),AB311,0)+IF(AND('Your debts'!$F$11&lt;&gt;"",'Your debts'!$F$7&lt;&gt;"",'Your debts'!$F$11&lt;'Your debts'!$F$7),AG311,0)+IF(AND('Your debts'!$F$12&lt;&gt;"",'Your debts'!$F$7&lt;&gt;"",'Your debts'!$F$12&lt;'Your debts'!$F$7),AL311,0)+IF(AND('Your debts'!$F$13&lt;&gt;"",'Your debts'!$F$7&lt;&gt;"",'Your debts'!$F$13&lt;'Your debts'!$F$7),AQ311,0)+IF(AND('Your debts'!$F$14&lt;&gt;"",'Your debts'!$F$7&lt;&gt;"",'Your debts'!$F$14&lt;'Your debts'!$F$7),AV311,0)+IF(AND('Your debts'!$F$15&lt;&gt;"",'Your debts'!$F$7&lt;&gt;"",'Your debts'!$F$15&lt;'Your debts'!$F$7),BA311,0)))))</f>
        <v/>
      </c>
      <c r="O311" s="33">
        <f>M311-N311</f>
        <v/>
      </c>
      <c r="P311" s="33">
        <f>IF(T310&lt;=0,0,ROUND(T310*(1+'Your debts'!$D$8/1200),2))</f>
        <v/>
      </c>
      <c r="Q311" s="33">
        <f>IF(P311&lt;=0,0,MIN('Your debts'!$E$8,P311))</f>
        <v/>
      </c>
      <c r="R311" s="33">
        <f>P311-Q311</f>
        <v/>
      </c>
      <c r="S311" s="33">
        <f>IF('Your debts'!$F$8="",0,MIN(R311,MAX(0,MAX(0,'Your debts'!$C$19-(G311+L311+Q311+V311+AA311+AF311+AK311+AP311+AU311+AZ311))-(IF(AND('Your debts'!$F$6&lt;&gt;"",'Your debts'!$F$8&lt;&gt;"",'Your debts'!$F$6&lt;'Your debts'!$F$8),H311,0)+IF(AND('Your debts'!$F$7&lt;&gt;"",'Your debts'!$F$8&lt;&gt;"",'Your debts'!$F$7&lt;'Your debts'!$F$8),M311,0)+IF(AND('Your debts'!$F$9&lt;&gt;"",'Your debts'!$F$8&lt;&gt;"",'Your debts'!$F$9&lt;'Your debts'!$F$8),W311,0)+IF(AND('Your debts'!$F$10&lt;&gt;"",'Your debts'!$F$8&lt;&gt;"",'Your debts'!$F$10&lt;'Your debts'!$F$8),AB311,0)+IF(AND('Your debts'!$F$11&lt;&gt;"",'Your debts'!$F$8&lt;&gt;"",'Your debts'!$F$11&lt;'Your debts'!$F$8),AG311,0)+IF(AND('Your debts'!$F$12&lt;&gt;"",'Your debts'!$F$8&lt;&gt;"",'Your debts'!$F$12&lt;'Your debts'!$F$8),AL311,0)+IF(AND('Your debts'!$F$13&lt;&gt;"",'Your debts'!$F$8&lt;&gt;"",'Your debts'!$F$13&lt;'Your debts'!$F$8),AQ311,0)+IF(AND('Your debts'!$F$14&lt;&gt;"",'Your debts'!$F$8&lt;&gt;"",'Your debts'!$F$14&lt;'Your debts'!$F$8),AV311,0)+IF(AND('Your debts'!$F$15&lt;&gt;"",'Your debts'!$F$8&lt;&gt;"",'Your debts'!$F$15&lt;'Your debts'!$F$8),BA311,0)))))</f>
        <v/>
      </c>
      <c r="T311" s="33">
        <f>R311-S311</f>
        <v/>
      </c>
      <c r="U311" s="33">
        <f>IF(Y310&lt;=0,0,ROUND(Y310*(1+'Your debts'!$D$9/1200),2))</f>
        <v/>
      </c>
      <c r="V311" s="33">
        <f>IF(U311&lt;=0,0,MIN('Your debts'!$E$9,U311))</f>
        <v/>
      </c>
      <c r="W311" s="33">
        <f>U311-V311</f>
        <v/>
      </c>
      <c r="X311" s="33">
        <f>IF('Your debts'!$F$9="",0,MIN(W311,MAX(0,MAX(0,'Your debts'!$C$19-(G311+L311+Q311+V311+AA311+AF311+AK311+AP311+AU311+AZ311))-(IF(AND('Your debts'!$F$6&lt;&gt;"",'Your debts'!$F$9&lt;&gt;"",'Your debts'!$F$6&lt;'Your debts'!$F$9),H311,0)+IF(AND('Your debts'!$F$7&lt;&gt;"",'Your debts'!$F$9&lt;&gt;"",'Your debts'!$F$7&lt;'Your debts'!$F$9),M311,0)+IF(AND('Your debts'!$F$8&lt;&gt;"",'Your debts'!$F$9&lt;&gt;"",'Your debts'!$F$8&lt;'Your debts'!$F$9),R311,0)+IF(AND('Your debts'!$F$10&lt;&gt;"",'Your debts'!$F$9&lt;&gt;"",'Your debts'!$F$10&lt;'Your debts'!$F$9),AB311,0)+IF(AND('Your debts'!$F$11&lt;&gt;"",'Your debts'!$F$9&lt;&gt;"",'Your debts'!$F$11&lt;'Your debts'!$F$9),AG311,0)+IF(AND('Your debts'!$F$12&lt;&gt;"",'Your debts'!$F$9&lt;&gt;"",'Your debts'!$F$12&lt;'Your debts'!$F$9),AL311,0)+IF(AND('Your debts'!$F$13&lt;&gt;"",'Your debts'!$F$9&lt;&gt;"",'Your debts'!$F$13&lt;'Your debts'!$F$9),AQ311,0)+IF(AND('Your debts'!$F$14&lt;&gt;"",'Your debts'!$F$9&lt;&gt;"",'Your debts'!$F$14&lt;'Your debts'!$F$9),AV311,0)+IF(AND('Your debts'!$F$15&lt;&gt;"",'Your debts'!$F$9&lt;&gt;"",'Your debts'!$F$15&lt;'Your debts'!$F$9),BA311,0)))))</f>
        <v/>
      </c>
      <c r="Y311" s="33">
        <f>W311-X311</f>
        <v/>
      </c>
      <c r="Z311" s="33">
        <f>IF(AD310&lt;=0,0,ROUND(AD310*(1+'Your debts'!$D$10/1200),2))</f>
        <v/>
      </c>
      <c r="AA311" s="33">
        <f>IF(Z311&lt;=0,0,MIN('Your debts'!$E$10,Z311))</f>
        <v/>
      </c>
      <c r="AB311" s="33">
        <f>Z311-AA311</f>
        <v/>
      </c>
      <c r="AC311" s="33">
        <f>IF('Your debts'!$F$10="",0,MIN(AB311,MAX(0,MAX(0,'Your debts'!$C$19-(G311+L311+Q311+V311+AA311+AF311+AK311+AP311+AU311+AZ311))-(IF(AND('Your debts'!$F$6&lt;&gt;"",'Your debts'!$F$10&lt;&gt;"",'Your debts'!$F$6&lt;'Your debts'!$F$10),H311,0)+IF(AND('Your debts'!$F$7&lt;&gt;"",'Your debts'!$F$10&lt;&gt;"",'Your debts'!$F$7&lt;'Your debts'!$F$10),M311,0)+IF(AND('Your debts'!$F$8&lt;&gt;"",'Your debts'!$F$10&lt;&gt;"",'Your debts'!$F$8&lt;'Your debts'!$F$10),R311,0)+IF(AND('Your debts'!$F$9&lt;&gt;"",'Your debts'!$F$10&lt;&gt;"",'Your debts'!$F$9&lt;'Your debts'!$F$10),W311,0)+IF(AND('Your debts'!$F$11&lt;&gt;"",'Your debts'!$F$10&lt;&gt;"",'Your debts'!$F$11&lt;'Your debts'!$F$10),AG311,0)+IF(AND('Your debts'!$F$12&lt;&gt;"",'Your debts'!$F$10&lt;&gt;"",'Your debts'!$F$12&lt;'Your debts'!$F$10),AL311,0)+IF(AND('Your debts'!$F$13&lt;&gt;"",'Your debts'!$F$10&lt;&gt;"",'Your debts'!$F$13&lt;'Your debts'!$F$10),AQ311,0)+IF(AND('Your debts'!$F$14&lt;&gt;"",'Your debts'!$F$10&lt;&gt;"",'Your debts'!$F$14&lt;'Your debts'!$F$10),AV311,0)+IF(AND('Your debts'!$F$15&lt;&gt;"",'Your debts'!$F$10&lt;&gt;"",'Your debts'!$F$15&lt;'Your debts'!$F$10),BA311,0)))))</f>
        <v/>
      </c>
      <c r="AD311" s="33">
        <f>AB311-AC311</f>
        <v/>
      </c>
      <c r="AE311" s="33">
        <f>IF(AI310&lt;=0,0,ROUND(AI310*(1+'Your debts'!$D$11/1200),2))</f>
        <v/>
      </c>
      <c r="AF311" s="33">
        <f>IF(AE311&lt;=0,0,MIN('Your debts'!$E$11,AE311))</f>
        <v/>
      </c>
      <c r="AG311" s="33">
        <f>AE311-AF311</f>
        <v/>
      </c>
      <c r="AH311" s="33">
        <f>IF('Your debts'!$F$11="",0,MIN(AG311,MAX(0,MAX(0,'Your debts'!$C$19-(G311+L311+Q311+V311+AA311+AF311+AK311+AP311+AU311+AZ311))-(IF(AND('Your debts'!$F$6&lt;&gt;"",'Your debts'!$F$11&lt;&gt;"",'Your debts'!$F$6&lt;'Your debts'!$F$11),H311,0)+IF(AND('Your debts'!$F$7&lt;&gt;"",'Your debts'!$F$11&lt;&gt;"",'Your debts'!$F$7&lt;'Your debts'!$F$11),M311,0)+IF(AND('Your debts'!$F$8&lt;&gt;"",'Your debts'!$F$11&lt;&gt;"",'Your debts'!$F$8&lt;'Your debts'!$F$11),R311,0)+IF(AND('Your debts'!$F$9&lt;&gt;"",'Your debts'!$F$11&lt;&gt;"",'Your debts'!$F$9&lt;'Your debts'!$F$11),W311,0)+IF(AND('Your debts'!$F$10&lt;&gt;"",'Your debts'!$F$11&lt;&gt;"",'Your debts'!$F$10&lt;'Your debts'!$F$11),AB311,0)+IF(AND('Your debts'!$F$12&lt;&gt;"",'Your debts'!$F$11&lt;&gt;"",'Your debts'!$F$12&lt;'Your debts'!$F$11),AL311,0)+IF(AND('Your debts'!$F$13&lt;&gt;"",'Your debts'!$F$11&lt;&gt;"",'Your debts'!$F$13&lt;'Your debts'!$F$11),AQ311,0)+IF(AND('Your debts'!$F$14&lt;&gt;"",'Your debts'!$F$11&lt;&gt;"",'Your debts'!$F$14&lt;'Your debts'!$F$11),AV311,0)+IF(AND('Your debts'!$F$15&lt;&gt;"",'Your debts'!$F$11&lt;&gt;"",'Your debts'!$F$15&lt;'Your debts'!$F$11),BA311,0)))))</f>
        <v/>
      </c>
      <c r="AI311" s="33">
        <f>AG311-AH311</f>
        <v/>
      </c>
      <c r="AJ311" s="33">
        <f>IF(AN310&lt;=0,0,ROUND(AN310*(1+'Your debts'!$D$12/1200),2))</f>
        <v/>
      </c>
      <c r="AK311" s="33">
        <f>IF(AJ311&lt;=0,0,MIN('Your debts'!$E$12,AJ311))</f>
        <v/>
      </c>
      <c r="AL311" s="33">
        <f>AJ311-AK311</f>
        <v/>
      </c>
      <c r="AM311" s="33">
        <f>IF('Your debts'!$F$12="",0,MIN(AL311,MAX(0,MAX(0,'Your debts'!$C$19-(G311+L311+Q311+V311+AA311+AF311+AK311+AP311+AU311+AZ311))-(IF(AND('Your debts'!$F$6&lt;&gt;"",'Your debts'!$F$12&lt;&gt;"",'Your debts'!$F$6&lt;'Your debts'!$F$12),H311,0)+IF(AND('Your debts'!$F$7&lt;&gt;"",'Your debts'!$F$12&lt;&gt;"",'Your debts'!$F$7&lt;'Your debts'!$F$12),M311,0)+IF(AND('Your debts'!$F$8&lt;&gt;"",'Your debts'!$F$12&lt;&gt;"",'Your debts'!$F$8&lt;'Your debts'!$F$12),R311,0)+IF(AND('Your debts'!$F$9&lt;&gt;"",'Your debts'!$F$12&lt;&gt;"",'Your debts'!$F$9&lt;'Your debts'!$F$12),W311,0)+IF(AND('Your debts'!$F$10&lt;&gt;"",'Your debts'!$F$12&lt;&gt;"",'Your debts'!$F$10&lt;'Your debts'!$F$12),AB311,0)+IF(AND('Your debts'!$F$11&lt;&gt;"",'Your debts'!$F$12&lt;&gt;"",'Your debts'!$F$11&lt;'Your debts'!$F$12),AG311,0)+IF(AND('Your debts'!$F$13&lt;&gt;"",'Your debts'!$F$12&lt;&gt;"",'Your debts'!$F$13&lt;'Your debts'!$F$12),AQ311,0)+IF(AND('Your debts'!$F$14&lt;&gt;"",'Your debts'!$F$12&lt;&gt;"",'Your debts'!$F$14&lt;'Your debts'!$F$12),AV311,0)+IF(AND('Your debts'!$F$15&lt;&gt;"",'Your debts'!$F$12&lt;&gt;"",'Your debts'!$F$15&lt;'Your debts'!$F$12),BA311,0)))))</f>
        <v/>
      </c>
      <c r="AN311" s="33">
        <f>AL311-AM311</f>
        <v/>
      </c>
      <c r="AO311" s="33">
        <f>IF(AS310&lt;=0,0,ROUND(AS310*(1+'Your debts'!$D$13/1200),2))</f>
        <v/>
      </c>
      <c r="AP311" s="33">
        <f>IF(AO311&lt;=0,0,MIN('Your debts'!$E$13,AO311))</f>
        <v/>
      </c>
      <c r="AQ311" s="33">
        <f>AO311-AP311</f>
        <v/>
      </c>
      <c r="AR311" s="33">
        <f>IF('Your debts'!$F$13="",0,MIN(AQ311,MAX(0,MAX(0,'Your debts'!$C$19-(G311+L311+Q311+V311+AA311+AF311+AK311+AP311+AU311+AZ311))-(IF(AND('Your debts'!$F$6&lt;&gt;"",'Your debts'!$F$13&lt;&gt;"",'Your debts'!$F$6&lt;'Your debts'!$F$13),H311,0)+IF(AND('Your debts'!$F$7&lt;&gt;"",'Your debts'!$F$13&lt;&gt;"",'Your debts'!$F$7&lt;'Your debts'!$F$13),M311,0)+IF(AND('Your debts'!$F$8&lt;&gt;"",'Your debts'!$F$13&lt;&gt;"",'Your debts'!$F$8&lt;'Your debts'!$F$13),R311,0)+IF(AND('Your debts'!$F$9&lt;&gt;"",'Your debts'!$F$13&lt;&gt;"",'Your debts'!$F$9&lt;'Your debts'!$F$13),W311,0)+IF(AND('Your debts'!$F$10&lt;&gt;"",'Your debts'!$F$13&lt;&gt;"",'Your debts'!$F$10&lt;'Your debts'!$F$13),AB311,0)+IF(AND('Your debts'!$F$11&lt;&gt;"",'Your debts'!$F$13&lt;&gt;"",'Your debts'!$F$11&lt;'Your debts'!$F$13),AG311,0)+IF(AND('Your debts'!$F$12&lt;&gt;"",'Your debts'!$F$13&lt;&gt;"",'Your debts'!$F$12&lt;'Your debts'!$F$13),AL311,0)+IF(AND('Your debts'!$F$14&lt;&gt;"",'Your debts'!$F$13&lt;&gt;"",'Your debts'!$F$14&lt;'Your debts'!$F$13),AV311,0)+IF(AND('Your debts'!$F$15&lt;&gt;"",'Your debts'!$F$13&lt;&gt;"",'Your debts'!$F$15&lt;'Your debts'!$F$13),BA311,0)))))</f>
        <v/>
      </c>
      <c r="AS311" s="33">
        <f>AQ311-AR311</f>
        <v/>
      </c>
      <c r="AT311" s="33">
        <f>IF(AX310&lt;=0,0,ROUND(AX310*(1+'Your debts'!$D$14/1200),2))</f>
        <v/>
      </c>
      <c r="AU311" s="33">
        <f>IF(AT311&lt;=0,0,MIN('Your debts'!$E$14,AT311))</f>
        <v/>
      </c>
      <c r="AV311" s="33">
        <f>AT311-AU311</f>
        <v/>
      </c>
      <c r="AW311" s="33">
        <f>IF('Your debts'!$F$14="",0,MIN(AV311,MAX(0,MAX(0,'Your debts'!$C$19-(G311+L311+Q311+V311+AA311+AF311+AK311+AP311+AU311+AZ311))-(IF(AND('Your debts'!$F$6&lt;&gt;"",'Your debts'!$F$14&lt;&gt;"",'Your debts'!$F$6&lt;'Your debts'!$F$14),H311,0)+IF(AND('Your debts'!$F$7&lt;&gt;"",'Your debts'!$F$14&lt;&gt;"",'Your debts'!$F$7&lt;'Your debts'!$F$14),M311,0)+IF(AND('Your debts'!$F$8&lt;&gt;"",'Your debts'!$F$14&lt;&gt;"",'Your debts'!$F$8&lt;'Your debts'!$F$14),R311,0)+IF(AND('Your debts'!$F$9&lt;&gt;"",'Your debts'!$F$14&lt;&gt;"",'Your debts'!$F$9&lt;'Your debts'!$F$14),W311,0)+IF(AND('Your debts'!$F$10&lt;&gt;"",'Your debts'!$F$14&lt;&gt;"",'Your debts'!$F$10&lt;'Your debts'!$F$14),AB311,0)+IF(AND('Your debts'!$F$11&lt;&gt;"",'Your debts'!$F$14&lt;&gt;"",'Your debts'!$F$11&lt;'Your debts'!$F$14),AG311,0)+IF(AND('Your debts'!$F$12&lt;&gt;"",'Your debts'!$F$14&lt;&gt;"",'Your debts'!$F$12&lt;'Your debts'!$F$14),AL311,0)+IF(AND('Your debts'!$F$13&lt;&gt;"",'Your debts'!$F$14&lt;&gt;"",'Your debts'!$F$13&lt;'Your debts'!$F$14),AQ311,0)+IF(AND('Your debts'!$F$15&lt;&gt;"",'Your debts'!$F$14&lt;&gt;"",'Your debts'!$F$15&lt;'Your debts'!$F$14),BA311,0)))))</f>
        <v/>
      </c>
      <c r="AX311" s="33">
        <f>AV311-AW311</f>
        <v/>
      </c>
      <c r="AY311" s="33">
        <f>IF(BC310&lt;=0,0,ROUND(BC310*(1+'Your debts'!$D$15/1200),2))</f>
        <v/>
      </c>
      <c r="AZ311" s="33">
        <f>IF(AY311&lt;=0,0,MIN('Your debts'!$E$15,AY311))</f>
        <v/>
      </c>
      <c r="BA311" s="33">
        <f>AY311-AZ311</f>
        <v/>
      </c>
      <c r="BB311" s="33">
        <f>IF('Your debts'!$F$15="",0,MIN(BA311,MAX(0,MAX(0,'Your debts'!$C$19-(G311+L311+Q311+V311+AA311+AF311+AK311+AP311+AU311+AZ311))-(IF(AND('Your debts'!$F$6&lt;&gt;"",'Your debts'!$F$15&lt;&gt;"",'Your debts'!$F$6&lt;'Your debts'!$F$15),H311,0)+IF(AND('Your debts'!$F$7&lt;&gt;"",'Your debts'!$F$15&lt;&gt;"",'Your debts'!$F$7&lt;'Your debts'!$F$15),M311,0)+IF(AND('Your debts'!$F$8&lt;&gt;"",'Your debts'!$F$15&lt;&gt;"",'Your debts'!$F$8&lt;'Your debts'!$F$15),R311,0)+IF(AND('Your debts'!$F$9&lt;&gt;"",'Your debts'!$F$15&lt;&gt;"",'Your debts'!$F$9&lt;'Your debts'!$F$15),W311,0)+IF(AND('Your debts'!$F$10&lt;&gt;"",'Your debts'!$F$15&lt;&gt;"",'Your debts'!$F$10&lt;'Your debts'!$F$15),AB311,0)+IF(AND('Your debts'!$F$11&lt;&gt;"",'Your debts'!$F$15&lt;&gt;"",'Your debts'!$F$11&lt;'Your debts'!$F$15),AG311,0)+IF(AND('Your debts'!$F$12&lt;&gt;"",'Your debts'!$F$15&lt;&gt;"",'Your debts'!$F$12&lt;'Your debts'!$F$15),AL311,0)+IF(AND('Your debts'!$F$13&lt;&gt;"",'Your debts'!$F$15&lt;&gt;"",'Your debts'!$F$13&lt;'Your debts'!$F$15),AQ311,0)+IF(AND('Your debts'!$F$14&lt;&gt;"",'Your debts'!$F$15&lt;&gt;"",'Your debts'!$F$14&lt;'Your debts'!$F$15),AV311,0)))))</f>
        <v/>
      </c>
      <c r="BC311" s="33">
        <f>BA311-BB311</f>
        <v/>
      </c>
    </row>
    <row r="312">
      <c r="A312" s="30" t="n">
        <v>297</v>
      </c>
      <c r="B312" s="31">
        <f>EDATE($B$15,297)</f>
        <v/>
      </c>
      <c r="C312" s="32">
        <f>IF(J311&lt;=0,0,F312-J311)+IF(O311&lt;=0,0,K312-O311)+IF(T311&lt;=0,0,P312-T311)+IF(Y311&lt;=0,0,U312-Y311)+IF(AD311&lt;=0,0,Z312-AD311)+IF(AI311&lt;=0,0,AE312-AI311)+IF(AN311&lt;=0,0,AJ312-AN311)+IF(AS311&lt;=0,0,AO312-AS311)+IF(AX311&lt;=0,0,AT312-AX311)+IF(BC311&lt;=0,0,AY312-BC311)</f>
        <v/>
      </c>
      <c r="D312" s="32">
        <f>G312+I312+L312+N312+Q312+S312+V312+X312+AA312+AC312+AF312+AH312+AK312+AM312+AP312+AR312+AU312+AW312+AZ312+BB312</f>
        <v/>
      </c>
      <c r="E312" s="32">
        <f>J312+O312+T312+Y312+AD312+AI312+AN312+AS312+AX312+BC312</f>
        <v/>
      </c>
      <c r="F312" s="33">
        <f>IF(J311&lt;=0,0,ROUND(J311*(1+'Your debts'!$D$6/1200),2))</f>
        <v/>
      </c>
      <c r="G312" s="33">
        <f>IF(F312&lt;=0,0,MIN('Your debts'!$E$6,F312))</f>
        <v/>
      </c>
      <c r="H312" s="33">
        <f>F312-G312</f>
        <v/>
      </c>
      <c r="I312" s="33">
        <f>IF('Your debts'!$F$6="",0,MIN(H312,MAX(0,MAX(0,'Your debts'!$C$19-(G312+L312+Q312+V312+AA312+AF312+AK312+AP312+AU312+AZ312))-(IF(AND('Your debts'!$F$7&lt;&gt;"",'Your debts'!$F$6&lt;&gt;"",'Your debts'!$F$7&lt;'Your debts'!$F$6),M312,0)+IF(AND('Your debts'!$F$8&lt;&gt;"",'Your debts'!$F$6&lt;&gt;"",'Your debts'!$F$8&lt;'Your debts'!$F$6),R312,0)+IF(AND('Your debts'!$F$9&lt;&gt;"",'Your debts'!$F$6&lt;&gt;"",'Your debts'!$F$9&lt;'Your debts'!$F$6),W312,0)+IF(AND('Your debts'!$F$10&lt;&gt;"",'Your debts'!$F$6&lt;&gt;"",'Your debts'!$F$10&lt;'Your debts'!$F$6),AB312,0)+IF(AND('Your debts'!$F$11&lt;&gt;"",'Your debts'!$F$6&lt;&gt;"",'Your debts'!$F$11&lt;'Your debts'!$F$6),AG312,0)+IF(AND('Your debts'!$F$12&lt;&gt;"",'Your debts'!$F$6&lt;&gt;"",'Your debts'!$F$12&lt;'Your debts'!$F$6),AL312,0)+IF(AND('Your debts'!$F$13&lt;&gt;"",'Your debts'!$F$6&lt;&gt;"",'Your debts'!$F$13&lt;'Your debts'!$F$6),AQ312,0)+IF(AND('Your debts'!$F$14&lt;&gt;"",'Your debts'!$F$6&lt;&gt;"",'Your debts'!$F$14&lt;'Your debts'!$F$6),AV312,0)+IF(AND('Your debts'!$F$15&lt;&gt;"",'Your debts'!$F$6&lt;&gt;"",'Your debts'!$F$15&lt;'Your debts'!$F$6),BA312,0)))))</f>
        <v/>
      </c>
      <c r="J312" s="33">
        <f>H312-I312</f>
        <v/>
      </c>
      <c r="K312" s="33">
        <f>IF(O311&lt;=0,0,ROUND(O311*(1+'Your debts'!$D$7/1200),2))</f>
        <v/>
      </c>
      <c r="L312" s="33">
        <f>IF(K312&lt;=0,0,MIN('Your debts'!$E$7,K312))</f>
        <v/>
      </c>
      <c r="M312" s="33">
        <f>K312-L312</f>
        <v/>
      </c>
      <c r="N312" s="33">
        <f>IF('Your debts'!$F$7="",0,MIN(M312,MAX(0,MAX(0,'Your debts'!$C$19-(G312+L312+Q312+V312+AA312+AF312+AK312+AP312+AU312+AZ312))-(IF(AND('Your debts'!$F$6&lt;&gt;"",'Your debts'!$F$7&lt;&gt;"",'Your debts'!$F$6&lt;'Your debts'!$F$7),H312,0)+IF(AND('Your debts'!$F$8&lt;&gt;"",'Your debts'!$F$7&lt;&gt;"",'Your debts'!$F$8&lt;'Your debts'!$F$7),R312,0)+IF(AND('Your debts'!$F$9&lt;&gt;"",'Your debts'!$F$7&lt;&gt;"",'Your debts'!$F$9&lt;'Your debts'!$F$7),W312,0)+IF(AND('Your debts'!$F$10&lt;&gt;"",'Your debts'!$F$7&lt;&gt;"",'Your debts'!$F$10&lt;'Your debts'!$F$7),AB312,0)+IF(AND('Your debts'!$F$11&lt;&gt;"",'Your debts'!$F$7&lt;&gt;"",'Your debts'!$F$11&lt;'Your debts'!$F$7),AG312,0)+IF(AND('Your debts'!$F$12&lt;&gt;"",'Your debts'!$F$7&lt;&gt;"",'Your debts'!$F$12&lt;'Your debts'!$F$7),AL312,0)+IF(AND('Your debts'!$F$13&lt;&gt;"",'Your debts'!$F$7&lt;&gt;"",'Your debts'!$F$13&lt;'Your debts'!$F$7),AQ312,0)+IF(AND('Your debts'!$F$14&lt;&gt;"",'Your debts'!$F$7&lt;&gt;"",'Your debts'!$F$14&lt;'Your debts'!$F$7),AV312,0)+IF(AND('Your debts'!$F$15&lt;&gt;"",'Your debts'!$F$7&lt;&gt;"",'Your debts'!$F$15&lt;'Your debts'!$F$7),BA312,0)))))</f>
        <v/>
      </c>
      <c r="O312" s="33">
        <f>M312-N312</f>
        <v/>
      </c>
      <c r="P312" s="33">
        <f>IF(T311&lt;=0,0,ROUND(T311*(1+'Your debts'!$D$8/1200),2))</f>
        <v/>
      </c>
      <c r="Q312" s="33">
        <f>IF(P312&lt;=0,0,MIN('Your debts'!$E$8,P312))</f>
        <v/>
      </c>
      <c r="R312" s="33">
        <f>P312-Q312</f>
        <v/>
      </c>
      <c r="S312" s="33">
        <f>IF('Your debts'!$F$8="",0,MIN(R312,MAX(0,MAX(0,'Your debts'!$C$19-(G312+L312+Q312+V312+AA312+AF312+AK312+AP312+AU312+AZ312))-(IF(AND('Your debts'!$F$6&lt;&gt;"",'Your debts'!$F$8&lt;&gt;"",'Your debts'!$F$6&lt;'Your debts'!$F$8),H312,0)+IF(AND('Your debts'!$F$7&lt;&gt;"",'Your debts'!$F$8&lt;&gt;"",'Your debts'!$F$7&lt;'Your debts'!$F$8),M312,0)+IF(AND('Your debts'!$F$9&lt;&gt;"",'Your debts'!$F$8&lt;&gt;"",'Your debts'!$F$9&lt;'Your debts'!$F$8),W312,0)+IF(AND('Your debts'!$F$10&lt;&gt;"",'Your debts'!$F$8&lt;&gt;"",'Your debts'!$F$10&lt;'Your debts'!$F$8),AB312,0)+IF(AND('Your debts'!$F$11&lt;&gt;"",'Your debts'!$F$8&lt;&gt;"",'Your debts'!$F$11&lt;'Your debts'!$F$8),AG312,0)+IF(AND('Your debts'!$F$12&lt;&gt;"",'Your debts'!$F$8&lt;&gt;"",'Your debts'!$F$12&lt;'Your debts'!$F$8),AL312,0)+IF(AND('Your debts'!$F$13&lt;&gt;"",'Your debts'!$F$8&lt;&gt;"",'Your debts'!$F$13&lt;'Your debts'!$F$8),AQ312,0)+IF(AND('Your debts'!$F$14&lt;&gt;"",'Your debts'!$F$8&lt;&gt;"",'Your debts'!$F$14&lt;'Your debts'!$F$8),AV312,0)+IF(AND('Your debts'!$F$15&lt;&gt;"",'Your debts'!$F$8&lt;&gt;"",'Your debts'!$F$15&lt;'Your debts'!$F$8),BA312,0)))))</f>
        <v/>
      </c>
      <c r="T312" s="33">
        <f>R312-S312</f>
        <v/>
      </c>
      <c r="U312" s="33">
        <f>IF(Y311&lt;=0,0,ROUND(Y311*(1+'Your debts'!$D$9/1200),2))</f>
        <v/>
      </c>
      <c r="V312" s="33">
        <f>IF(U312&lt;=0,0,MIN('Your debts'!$E$9,U312))</f>
        <v/>
      </c>
      <c r="W312" s="33">
        <f>U312-V312</f>
        <v/>
      </c>
      <c r="X312" s="33">
        <f>IF('Your debts'!$F$9="",0,MIN(W312,MAX(0,MAX(0,'Your debts'!$C$19-(G312+L312+Q312+V312+AA312+AF312+AK312+AP312+AU312+AZ312))-(IF(AND('Your debts'!$F$6&lt;&gt;"",'Your debts'!$F$9&lt;&gt;"",'Your debts'!$F$6&lt;'Your debts'!$F$9),H312,0)+IF(AND('Your debts'!$F$7&lt;&gt;"",'Your debts'!$F$9&lt;&gt;"",'Your debts'!$F$7&lt;'Your debts'!$F$9),M312,0)+IF(AND('Your debts'!$F$8&lt;&gt;"",'Your debts'!$F$9&lt;&gt;"",'Your debts'!$F$8&lt;'Your debts'!$F$9),R312,0)+IF(AND('Your debts'!$F$10&lt;&gt;"",'Your debts'!$F$9&lt;&gt;"",'Your debts'!$F$10&lt;'Your debts'!$F$9),AB312,0)+IF(AND('Your debts'!$F$11&lt;&gt;"",'Your debts'!$F$9&lt;&gt;"",'Your debts'!$F$11&lt;'Your debts'!$F$9),AG312,0)+IF(AND('Your debts'!$F$12&lt;&gt;"",'Your debts'!$F$9&lt;&gt;"",'Your debts'!$F$12&lt;'Your debts'!$F$9),AL312,0)+IF(AND('Your debts'!$F$13&lt;&gt;"",'Your debts'!$F$9&lt;&gt;"",'Your debts'!$F$13&lt;'Your debts'!$F$9),AQ312,0)+IF(AND('Your debts'!$F$14&lt;&gt;"",'Your debts'!$F$9&lt;&gt;"",'Your debts'!$F$14&lt;'Your debts'!$F$9),AV312,0)+IF(AND('Your debts'!$F$15&lt;&gt;"",'Your debts'!$F$9&lt;&gt;"",'Your debts'!$F$15&lt;'Your debts'!$F$9),BA312,0)))))</f>
        <v/>
      </c>
      <c r="Y312" s="33">
        <f>W312-X312</f>
        <v/>
      </c>
      <c r="Z312" s="33">
        <f>IF(AD311&lt;=0,0,ROUND(AD311*(1+'Your debts'!$D$10/1200),2))</f>
        <v/>
      </c>
      <c r="AA312" s="33">
        <f>IF(Z312&lt;=0,0,MIN('Your debts'!$E$10,Z312))</f>
        <v/>
      </c>
      <c r="AB312" s="33">
        <f>Z312-AA312</f>
        <v/>
      </c>
      <c r="AC312" s="33">
        <f>IF('Your debts'!$F$10="",0,MIN(AB312,MAX(0,MAX(0,'Your debts'!$C$19-(G312+L312+Q312+V312+AA312+AF312+AK312+AP312+AU312+AZ312))-(IF(AND('Your debts'!$F$6&lt;&gt;"",'Your debts'!$F$10&lt;&gt;"",'Your debts'!$F$6&lt;'Your debts'!$F$10),H312,0)+IF(AND('Your debts'!$F$7&lt;&gt;"",'Your debts'!$F$10&lt;&gt;"",'Your debts'!$F$7&lt;'Your debts'!$F$10),M312,0)+IF(AND('Your debts'!$F$8&lt;&gt;"",'Your debts'!$F$10&lt;&gt;"",'Your debts'!$F$8&lt;'Your debts'!$F$10),R312,0)+IF(AND('Your debts'!$F$9&lt;&gt;"",'Your debts'!$F$10&lt;&gt;"",'Your debts'!$F$9&lt;'Your debts'!$F$10),W312,0)+IF(AND('Your debts'!$F$11&lt;&gt;"",'Your debts'!$F$10&lt;&gt;"",'Your debts'!$F$11&lt;'Your debts'!$F$10),AG312,0)+IF(AND('Your debts'!$F$12&lt;&gt;"",'Your debts'!$F$10&lt;&gt;"",'Your debts'!$F$12&lt;'Your debts'!$F$10),AL312,0)+IF(AND('Your debts'!$F$13&lt;&gt;"",'Your debts'!$F$10&lt;&gt;"",'Your debts'!$F$13&lt;'Your debts'!$F$10),AQ312,0)+IF(AND('Your debts'!$F$14&lt;&gt;"",'Your debts'!$F$10&lt;&gt;"",'Your debts'!$F$14&lt;'Your debts'!$F$10),AV312,0)+IF(AND('Your debts'!$F$15&lt;&gt;"",'Your debts'!$F$10&lt;&gt;"",'Your debts'!$F$15&lt;'Your debts'!$F$10),BA312,0)))))</f>
        <v/>
      </c>
      <c r="AD312" s="33">
        <f>AB312-AC312</f>
        <v/>
      </c>
      <c r="AE312" s="33">
        <f>IF(AI311&lt;=0,0,ROUND(AI311*(1+'Your debts'!$D$11/1200),2))</f>
        <v/>
      </c>
      <c r="AF312" s="33">
        <f>IF(AE312&lt;=0,0,MIN('Your debts'!$E$11,AE312))</f>
        <v/>
      </c>
      <c r="AG312" s="33">
        <f>AE312-AF312</f>
        <v/>
      </c>
      <c r="AH312" s="33">
        <f>IF('Your debts'!$F$11="",0,MIN(AG312,MAX(0,MAX(0,'Your debts'!$C$19-(G312+L312+Q312+V312+AA312+AF312+AK312+AP312+AU312+AZ312))-(IF(AND('Your debts'!$F$6&lt;&gt;"",'Your debts'!$F$11&lt;&gt;"",'Your debts'!$F$6&lt;'Your debts'!$F$11),H312,0)+IF(AND('Your debts'!$F$7&lt;&gt;"",'Your debts'!$F$11&lt;&gt;"",'Your debts'!$F$7&lt;'Your debts'!$F$11),M312,0)+IF(AND('Your debts'!$F$8&lt;&gt;"",'Your debts'!$F$11&lt;&gt;"",'Your debts'!$F$8&lt;'Your debts'!$F$11),R312,0)+IF(AND('Your debts'!$F$9&lt;&gt;"",'Your debts'!$F$11&lt;&gt;"",'Your debts'!$F$9&lt;'Your debts'!$F$11),W312,0)+IF(AND('Your debts'!$F$10&lt;&gt;"",'Your debts'!$F$11&lt;&gt;"",'Your debts'!$F$10&lt;'Your debts'!$F$11),AB312,0)+IF(AND('Your debts'!$F$12&lt;&gt;"",'Your debts'!$F$11&lt;&gt;"",'Your debts'!$F$12&lt;'Your debts'!$F$11),AL312,0)+IF(AND('Your debts'!$F$13&lt;&gt;"",'Your debts'!$F$11&lt;&gt;"",'Your debts'!$F$13&lt;'Your debts'!$F$11),AQ312,0)+IF(AND('Your debts'!$F$14&lt;&gt;"",'Your debts'!$F$11&lt;&gt;"",'Your debts'!$F$14&lt;'Your debts'!$F$11),AV312,0)+IF(AND('Your debts'!$F$15&lt;&gt;"",'Your debts'!$F$11&lt;&gt;"",'Your debts'!$F$15&lt;'Your debts'!$F$11),BA312,0)))))</f>
        <v/>
      </c>
      <c r="AI312" s="33">
        <f>AG312-AH312</f>
        <v/>
      </c>
      <c r="AJ312" s="33">
        <f>IF(AN311&lt;=0,0,ROUND(AN311*(1+'Your debts'!$D$12/1200),2))</f>
        <v/>
      </c>
      <c r="AK312" s="33">
        <f>IF(AJ312&lt;=0,0,MIN('Your debts'!$E$12,AJ312))</f>
        <v/>
      </c>
      <c r="AL312" s="33">
        <f>AJ312-AK312</f>
        <v/>
      </c>
      <c r="AM312" s="33">
        <f>IF('Your debts'!$F$12="",0,MIN(AL312,MAX(0,MAX(0,'Your debts'!$C$19-(G312+L312+Q312+V312+AA312+AF312+AK312+AP312+AU312+AZ312))-(IF(AND('Your debts'!$F$6&lt;&gt;"",'Your debts'!$F$12&lt;&gt;"",'Your debts'!$F$6&lt;'Your debts'!$F$12),H312,0)+IF(AND('Your debts'!$F$7&lt;&gt;"",'Your debts'!$F$12&lt;&gt;"",'Your debts'!$F$7&lt;'Your debts'!$F$12),M312,0)+IF(AND('Your debts'!$F$8&lt;&gt;"",'Your debts'!$F$12&lt;&gt;"",'Your debts'!$F$8&lt;'Your debts'!$F$12),R312,0)+IF(AND('Your debts'!$F$9&lt;&gt;"",'Your debts'!$F$12&lt;&gt;"",'Your debts'!$F$9&lt;'Your debts'!$F$12),W312,0)+IF(AND('Your debts'!$F$10&lt;&gt;"",'Your debts'!$F$12&lt;&gt;"",'Your debts'!$F$10&lt;'Your debts'!$F$12),AB312,0)+IF(AND('Your debts'!$F$11&lt;&gt;"",'Your debts'!$F$12&lt;&gt;"",'Your debts'!$F$11&lt;'Your debts'!$F$12),AG312,0)+IF(AND('Your debts'!$F$13&lt;&gt;"",'Your debts'!$F$12&lt;&gt;"",'Your debts'!$F$13&lt;'Your debts'!$F$12),AQ312,0)+IF(AND('Your debts'!$F$14&lt;&gt;"",'Your debts'!$F$12&lt;&gt;"",'Your debts'!$F$14&lt;'Your debts'!$F$12),AV312,0)+IF(AND('Your debts'!$F$15&lt;&gt;"",'Your debts'!$F$12&lt;&gt;"",'Your debts'!$F$15&lt;'Your debts'!$F$12),BA312,0)))))</f>
        <v/>
      </c>
      <c r="AN312" s="33">
        <f>AL312-AM312</f>
        <v/>
      </c>
      <c r="AO312" s="33">
        <f>IF(AS311&lt;=0,0,ROUND(AS311*(1+'Your debts'!$D$13/1200),2))</f>
        <v/>
      </c>
      <c r="AP312" s="33">
        <f>IF(AO312&lt;=0,0,MIN('Your debts'!$E$13,AO312))</f>
        <v/>
      </c>
      <c r="AQ312" s="33">
        <f>AO312-AP312</f>
        <v/>
      </c>
      <c r="AR312" s="33">
        <f>IF('Your debts'!$F$13="",0,MIN(AQ312,MAX(0,MAX(0,'Your debts'!$C$19-(G312+L312+Q312+V312+AA312+AF312+AK312+AP312+AU312+AZ312))-(IF(AND('Your debts'!$F$6&lt;&gt;"",'Your debts'!$F$13&lt;&gt;"",'Your debts'!$F$6&lt;'Your debts'!$F$13),H312,0)+IF(AND('Your debts'!$F$7&lt;&gt;"",'Your debts'!$F$13&lt;&gt;"",'Your debts'!$F$7&lt;'Your debts'!$F$13),M312,0)+IF(AND('Your debts'!$F$8&lt;&gt;"",'Your debts'!$F$13&lt;&gt;"",'Your debts'!$F$8&lt;'Your debts'!$F$13),R312,0)+IF(AND('Your debts'!$F$9&lt;&gt;"",'Your debts'!$F$13&lt;&gt;"",'Your debts'!$F$9&lt;'Your debts'!$F$13),W312,0)+IF(AND('Your debts'!$F$10&lt;&gt;"",'Your debts'!$F$13&lt;&gt;"",'Your debts'!$F$10&lt;'Your debts'!$F$13),AB312,0)+IF(AND('Your debts'!$F$11&lt;&gt;"",'Your debts'!$F$13&lt;&gt;"",'Your debts'!$F$11&lt;'Your debts'!$F$13),AG312,0)+IF(AND('Your debts'!$F$12&lt;&gt;"",'Your debts'!$F$13&lt;&gt;"",'Your debts'!$F$12&lt;'Your debts'!$F$13),AL312,0)+IF(AND('Your debts'!$F$14&lt;&gt;"",'Your debts'!$F$13&lt;&gt;"",'Your debts'!$F$14&lt;'Your debts'!$F$13),AV312,0)+IF(AND('Your debts'!$F$15&lt;&gt;"",'Your debts'!$F$13&lt;&gt;"",'Your debts'!$F$15&lt;'Your debts'!$F$13),BA312,0)))))</f>
        <v/>
      </c>
      <c r="AS312" s="33">
        <f>AQ312-AR312</f>
        <v/>
      </c>
      <c r="AT312" s="33">
        <f>IF(AX311&lt;=0,0,ROUND(AX311*(1+'Your debts'!$D$14/1200),2))</f>
        <v/>
      </c>
      <c r="AU312" s="33">
        <f>IF(AT312&lt;=0,0,MIN('Your debts'!$E$14,AT312))</f>
        <v/>
      </c>
      <c r="AV312" s="33">
        <f>AT312-AU312</f>
        <v/>
      </c>
      <c r="AW312" s="33">
        <f>IF('Your debts'!$F$14="",0,MIN(AV312,MAX(0,MAX(0,'Your debts'!$C$19-(G312+L312+Q312+V312+AA312+AF312+AK312+AP312+AU312+AZ312))-(IF(AND('Your debts'!$F$6&lt;&gt;"",'Your debts'!$F$14&lt;&gt;"",'Your debts'!$F$6&lt;'Your debts'!$F$14),H312,0)+IF(AND('Your debts'!$F$7&lt;&gt;"",'Your debts'!$F$14&lt;&gt;"",'Your debts'!$F$7&lt;'Your debts'!$F$14),M312,0)+IF(AND('Your debts'!$F$8&lt;&gt;"",'Your debts'!$F$14&lt;&gt;"",'Your debts'!$F$8&lt;'Your debts'!$F$14),R312,0)+IF(AND('Your debts'!$F$9&lt;&gt;"",'Your debts'!$F$14&lt;&gt;"",'Your debts'!$F$9&lt;'Your debts'!$F$14),W312,0)+IF(AND('Your debts'!$F$10&lt;&gt;"",'Your debts'!$F$14&lt;&gt;"",'Your debts'!$F$10&lt;'Your debts'!$F$14),AB312,0)+IF(AND('Your debts'!$F$11&lt;&gt;"",'Your debts'!$F$14&lt;&gt;"",'Your debts'!$F$11&lt;'Your debts'!$F$14),AG312,0)+IF(AND('Your debts'!$F$12&lt;&gt;"",'Your debts'!$F$14&lt;&gt;"",'Your debts'!$F$12&lt;'Your debts'!$F$14),AL312,0)+IF(AND('Your debts'!$F$13&lt;&gt;"",'Your debts'!$F$14&lt;&gt;"",'Your debts'!$F$13&lt;'Your debts'!$F$14),AQ312,0)+IF(AND('Your debts'!$F$15&lt;&gt;"",'Your debts'!$F$14&lt;&gt;"",'Your debts'!$F$15&lt;'Your debts'!$F$14),BA312,0)))))</f>
        <v/>
      </c>
      <c r="AX312" s="33">
        <f>AV312-AW312</f>
        <v/>
      </c>
      <c r="AY312" s="33">
        <f>IF(BC311&lt;=0,0,ROUND(BC311*(1+'Your debts'!$D$15/1200),2))</f>
        <v/>
      </c>
      <c r="AZ312" s="33">
        <f>IF(AY312&lt;=0,0,MIN('Your debts'!$E$15,AY312))</f>
        <v/>
      </c>
      <c r="BA312" s="33">
        <f>AY312-AZ312</f>
        <v/>
      </c>
      <c r="BB312" s="33">
        <f>IF('Your debts'!$F$15="",0,MIN(BA312,MAX(0,MAX(0,'Your debts'!$C$19-(G312+L312+Q312+V312+AA312+AF312+AK312+AP312+AU312+AZ312))-(IF(AND('Your debts'!$F$6&lt;&gt;"",'Your debts'!$F$15&lt;&gt;"",'Your debts'!$F$6&lt;'Your debts'!$F$15),H312,0)+IF(AND('Your debts'!$F$7&lt;&gt;"",'Your debts'!$F$15&lt;&gt;"",'Your debts'!$F$7&lt;'Your debts'!$F$15),M312,0)+IF(AND('Your debts'!$F$8&lt;&gt;"",'Your debts'!$F$15&lt;&gt;"",'Your debts'!$F$8&lt;'Your debts'!$F$15),R312,0)+IF(AND('Your debts'!$F$9&lt;&gt;"",'Your debts'!$F$15&lt;&gt;"",'Your debts'!$F$9&lt;'Your debts'!$F$15),W312,0)+IF(AND('Your debts'!$F$10&lt;&gt;"",'Your debts'!$F$15&lt;&gt;"",'Your debts'!$F$10&lt;'Your debts'!$F$15),AB312,0)+IF(AND('Your debts'!$F$11&lt;&gt;"",'Your debts'!$F$15&lt;&gt;"",'Your debts'!$F$11&lt;'Your debts'!$F$15),AG312,0)+IF(AND('Your debts'!$F$12&lt;&gt;"",'Your debts'!$F$15&lt;&gt;"",'Your debts'!$F$12&lt;'Your debts'!$F$15),AL312,0)+IF(AND('Your debts'!$F$13&lt;&gt;"",'Your debts'!$F$15&lt;&gt;"",'Your debts'!$F$13&lt;'Your debts'!$F$15),AQ312,0)+IF(AND('Your debts'!$F$14&lt;&gt;"",'Your debts'!$F$15&lt;&gt;"",'Your debts'!$F$14&lt;'Your debts'!$F$15),AV312,0)))))</f>
        <v/>
      </c>
      <c r="BC312" s="33">
        <f>BA312-BB312</f>
        <v/>
      </c>
    </row>
    <row r="313">
      <c r="A313" s="30" t="n">
        <v>298</v>
      </c>
      <c r="B313" s="31">
        <f>EDATE($B$15,298)</f>
        <v/>
      </c>
      <c r="C313" s="32">
        <f>IF(J312&lt;=0,0,F313-J312)+IF(O312&lt;=0,0,K313-O312)+IF(T312&lt;=0,0,P313-T312)+IF(Y312&lt;=0,0,U313-Y312)+IF(AD312&lt;=0,0,Z313-AD312)+IF(AI312&lt;=0,0,AE313-AI312)+IF(AN312&lt;=0,0,AJ313-AN312)+IF(AS312&lt;=0,0,AO313-AS312)+IF(AX312&lt;=0,0,AT313-AX312)+IF(BC312&lt;=0,0,AY313-BC312)</f>
        <v/>
      </c>
      <c r="D313" s="32">
        <f>G313+I313+L313+N313+Q313+S313+V313+X313+AA313+AC313+AF313+AH313+AK313+AM313+AP313+AR313+AU313+AW313+AZ313+BB313</f>
        <v/>
      </c>
      <c r="E313" s="32">
        <f>J313+O313+T313+Y313+AD313+AI313+AN313+AS313+AX313+BC313</f>
        <v/>
      </c>
      <c r="F313" s="33">
        <f>IF(J312&lt;=0,0,ROUND(J312*(1+'Your debts'!$D$6/1200),2))</f>
        <v/>
      </c>
      <c r="G313" s="33">
        <f>IF(F313&lt;=0,0,MIN('Your debts'!$E$6,F313))</f>
        <v/>
      </c>
      <c r="H313" s="33">
        <f>F313-G313</f>
        <v/>
      </c>
      <c r="I313" s="33">
        <f>IF('Your debts'!$F$6="",0,MIN(H313,MAX(0,MAX(0,'Your debts'!$C$19-(G313+L313+Q313+V313+AA313+AF313+AK313+AP313+AU313+AZ313))-(IF(AND('Your debts'!$F$7&lt;&gt;"",'Your debts'!$F$6&lt;&gt;"",'Your debts'!$F$7&lt;'Your debts'!$F$6),M313,0)+IF(AND('Your debts'!$F$8&lt;&gt;"",'Your debts'!$F$6&lt;&gt;"",'Your debts'!$F$8&lt;'Your debts'!$F$6),R313,0)+IF(AND('Your debts'!$F$9&lt;&gt;"",'Your debts'!$F$6&lt;&gt;"",'Your debts'!$F$9&lt;'Your debts'!$F$6),W313,0)+IF(AND('Your debts'!$F$10&lt;&gt;"",'Your debts'!$F$6&lt;&gt;"",'Your debts'!$F$10&lt;'Your debts'!$F$6),AB313,0)+IF(AND('Your debts'!$F$11&lt;&gt;"",'Your debts'!$F$6&lt;&gt;"",'Your debts'!$F$11&lt;'Your debts'!$F$6),AG313,0)+IF(AND('Your debts'!$F$12&lt;&gt;"",'Your debts'!$F$6&lt;&gt;"",'Your debts'!$F$12&lt;'Your debts'!$F$6),AL313,0)+IF(AND('Your debts'!$F$13&lt;&gt;"",'Your debts'!$F$6&lt;&gt;"",'Your debts'!$F$13&lt;'Your debts'!$F$6),AQ313,0)+IF(AND('Your debts'!$F$14&lt;&gt;"",'Your debts'!$F$6&lt;&gt;"",'Your debts'!$F$14&lt;'Your debts'!$F$6),AV313,0)+IF(AND('Your debts'!$F$15&lt;&gt;"",'Your debts'!$F$6&lt;&gt;"",'Your debts'!$F$15&lt;'Your debts'!$F$6),BA313,0)))))</f>
        <v/>
      </c>
      <c r="J313" s="33">
        <f>H313-I313</f>
        <v/>
      </c>
      <c r="K313" s="33">
        <f>IF(O312&lt;=0,0,ROUND(O312*(1+'Your debts'!$D$7/1200),2))</f>
        <v/>
      </c>
      <c r="L313" s="33">
        <f>IF(K313&lt;=0,0,MIN('Your debts'!$E$7,K313))</f>
        <v/>
      </c>
      <c r="M313" s="33">
        <f>K313-L313</f>
        <v/>
      </c>
      <c r="N313" s="33">
        <f>IF('Your debts'!$F$7="",0,MIN(M313,MAX(0,MAX(0,'Your debts'!$C$19-(G313+L313+Q313+V313+AA313+AF313+AK313+AP313+AU313+AZ313))-(IF(AND('Your debts'!$F$6&lt;&gt;"",'Your debts'!$F$7&lt;&gt;"",'Your debts'!$F$6&lt;'Your debts'!$F$7),H313,0)+IF(AND('Your debts'!$F$8&lt;&gt;"",'Your debts'!$F$7&lt;&gt;"",'Your debts'!$F$8&lt;'Your debts'!$F$7),R313,0)+IF(AND('Your debts'!$F$9&lt;&gt;"",'Your debts'!$F$7&lt;&gt;"",'Your debts'!$F$9&lt;'Your debts'!$F$7),W313,0)+IF(AND('Your debts'!$F$10&lt;&gt;"",'Your debts'!$F$7&lt;&gt;"",'Your debts'!$F$10&lt;'Your debts'!$F$7),AB313,0)+IF(AND('Your debts'!$F$11&lt;&gt;"",'Your debts'!$F$7&lt;&gt;"",'Your debts'!$F$11&lt;'Your debts'!$F$7),AG313,0)+IF(AND('Your debts'!$F$12&lt;&gt;"",'Your debts'!$F$7&lt;&gt;"",'Your debts'!$F$12&lt;'Your debts'!$F$7),AL313,0)+IF(AND('Your debts'!$F$13&lt;&gt;"",'Your debts'!$F$7&lt;&gt;"",'Your debts'!$F$13&lt;'Your debts'!$F$7),AQ313,0)+IF(AND('Your debts'!$F$14&lt;&gt;"",'Your debts'!$F$7&lt;&gt;"",'Your debts'!$F$14&lt;'Your debts'!$F$7),AV313,0)+IF(AND('Your debts'!$F$15&lt;&gt;"",'Your debts'!$F$7&lt;&gt;"",'Your debts'!$F$15&lt;'Your debts'!$F$7),BA313,0)))))</f>
        <v/>
      </c>
      <c r="O313" s="33">
        <f>M313-N313</f>
        <v/>
      </c>
      <c r="P313" s="33">
        <f>IF(T312&lt;=0,0,ROUND(T312*(1+'Your debts'!$D$8/1200),2))</f>
        <v/>
      </c>
      <c r="Q313" s="33">
        <f>IF(P313&lt;=0,0,MIN('Your debts'!$E$8,P313))</f>
        <v/>
      </c>
      <c r="R313" s="33">
        <f>P313-Q313</f>
        <v/>
      </c>
      <c r="S313" s="33">
        <f>IF('Your debts'!$F$8="",0,MIN(R313,MAX(0,MAX(0,'Your debts'!$C$19-(G313+L313+Q313+V313+AA313+AF313+AK313+AP313+AU313+AZ313))-(IF(AND('Your debts'!$F$6&lt;&gt;"",'Your debts'!$F$8&lt;&gt;"",'Your debts'!$F$6&lt;'Your debts'!$F$8),H313,0)+IF(AND('Your debts'!$F$7&lt;&gt;"",'Your debts'!$F$8&lt;&gt;"",'Your debts'!$F$7&lt;'Your debts'!$F$8),M313,0)+IF(AND('Your debts'!$F$9&lt;&gt;"",'Your debts'!$F$8&lt;&gt;"",'Your debts'!$F$9&lt;'Your debts'!$F$8),W313,0)+IF(AND('Your debts'!$F$10&lt;&gt;"",'Your debts'!$F$8&lt;&gt;"",'Your debts'!$F$10&lt;'Your debts'!$F$8),AB313,0)+IF(AND('Your debts'!$F$11&lt;&gt;"",'Your debts'!$F$8&lt;&gt;"",'Your debts'!$F$11&lt;'Your debts'!$F$8),AG313,0)+IF(AND('Your debts'!$F$12&lt;&gt;"",'Your debts'!$F$8&lt;&gt;"",'Your debts'!$F$12&lt;'Your debts'!$F$8),AL313,0)+IF(AND('Your debts'!$F$13&lt;&gt;"",'Your debts'!$F$8&lt;&gt;"",'Your debts'!$F$13&lt;'Your debts'!$F$8),AQ313,0)+IF(AND('Your debts'!$F$14&lt;&gt;"",'Your debts'!$F$8&lt;&gt;"",'Your debts'!$F$14&lt;'Your debts'!$F$8),AV313,0)+IF(AND('Your debts'!$F$15&lt;&gt;"",'Your debts'!$F$8&lt;&gt;"",'Your debts'!$F$15&lt;'Your debts'!$F$8),BA313,0)))))</f>
        <v/>
      </c>
      <c r="T313" s="33">
        <f>R313-S313</f>
        <v/>
      </c>
      <c r="U313" s="33">
        <f>IF(Y312&lt;=0,0,ROUND(Y312*(1+'Your debts'!$D$9/1200),2))</f>
        <v/>
      </c>
      <c r="V313" s="33">
        <f>IF(U313&lt;=0,0,MIN('Your debts'!$E$9,U313))</f>
        <v/>
      </c>
      <c r="W313" s="33">
        <f>U313-V313</f>
        <v/>
      </c>
      <c r="X313" s="33">
        <f>IF('Your debts'!$F$9="",0,MIN(W313,MAX(0,MAX(0,'Your debts'!$C$19-(G313+L313+Q313+V313+AA313+AF313+AK313+AP313+AU313+AZ313))-(IF(AND('Your debts'!$F$6&lt;&gt;"",'Your debts'!$F$9&lt;&gt;"",'Your debts'!$F$6&lt;'Your debts'!$F$9),H313,0)+IF(AND('Your debts'!$F$7&lt;&gt;"",'Your debts'!$F$9&lt;&gt;"",'Your debts'!$F$7&lt;'Your debts'!$F$9),M313,0)+IF(AND('Your debts'!$F$8&lt;&gt;"",'Your debts'!$F$9&lt;&gt;"",'Your debts'!$F$8&lt;'Your debts'!$F$9),R313,0)+IF(AND('Your debts'!$F$10&lt;&gt;"",'Your debts'!$F$9&lt;&gt;"",'Your debts'!$F$10&lt;'Your debts'!$F$9),AB313,0)+IF(AND('Your debts'!$F$11&lt;&gt;"",'Your debts'!$F$9&lt;&gt;"",'Your debts'!$F$11&lt;'Your debts'!$F$9),AG313,0)+IF(AND('Your debts'!$F$12&lt;&gt;"",'Your debts'!$F$9&lt;&gt;"",'Your debts'!$F$12&lt;'Your debts'!$F$9),AL313,0)+IF(AND('Your debts'!$F$13&lt;&gt;"",'Your debts'!$F$9&lt;&gt;"",'Your debts'!$F$13&lt;'Your debts'!$F$9),AQ313,0)+IF(AND('Your debts'!$F$14&lt;&gt;"",'Your debts'!$F$9&lt;&gt;"",'Your debts'!$F$14&lt;'Your debts'!$F$9),AV313,0)+IF(AND('Your debts'!$F$15&lt;&gt;"",'Your debts'!$F$9&lt;&gt;"",'Your debts'!$F$15&lt;'Your debts'!$F$9),BA313,0)))))</f>
        <v/>
      </c>
      <c r="Y313" s="33">
        <f>W313-X313</f>
        <v/>
      </c>
      <c r="Z313" s="33">
        <f>IF(AD312&lt;=0,0,ROUND(AD312*(1+'Your debts'!$D$10/1200),2))</f>
        <v/>
      </c>
      <c r="AA313" s="33">
        <f>IF(Z313&lt;=0,0,MIN('Your debts'!$E$10,Z313))</f>
        <v/>
      </c>
      <c r="AB313" s="33">
        <f>Z313-AA313</f>
        <v/>
      </c>
      <c r="AC313" s="33">
        <f>IF('Your debts'!$F$10="",0,MIN(AB313,MAX(0,MAX(0,'Your debts'!$C$19-(G313+L313+Q313+V313+AA313+AF313+AK313+AP313+AU313+AZ313))-(IF(AND('Your debts'!$F$6&lt;&gt;"",'Your debts'!$F$10&lt;&gt;"",'Your debts'!$F$6&lt;'Your debts'!$F$10),H313,0)+IF(AND('Your debts'!$F$7&lt;&gt;"",'Your debts'!$F$10&lt;&gt;"",'Your debts'!$F$7&lt;'Your debts'!$F$10),M313,0)+IF(AND('Your debts'!$F$8&lt;&gt;"",'Your debts'!$F$10&lt;&gt;"",'Your debts'!$F$8&lt;'Your debts'!$F$10),R313,0)+IF(AND('Your debts'!$F$9&lt;&gt;"",'Your debts'!$F$10&lt;&gt;"",'Your debts'!$F$9&lt;'Your debts'!$F$10),W313,0)+IF(AND('Your debts'!$F$11&lt;&gt;"",'Your debts'!$F$10&lt;&gt;"",'Your debts'!$F$11&lt;'Your debts'!$F$10),AG313,0)+IF(AND('Your debts'!$F$12&lt;&gt;"",'Your debts'!$F$10&lt;&gt;"",'Your debts'!$F$12&lt;'Your debts'!$F$10),AL313,0)+IF(AND('Your debts'!$F$13&lt;&gt;"",'Your debts'!$F$10&lt;&gt;"",'Your debts'!$F$13&lt;'Your debts'!$F$10),AQ313,0)+IF(AND('Your debts'!$F$14&lt;&gt;"",'Your debts'!$F$10&lt;&gt;"",'Your debts'!$F$14&lt;'Your debts'!$F$10),AV313,0)+IF(AND('Your debts'!$F$15&lt;&gt;"",'Your debts'!$F$10&lt;&gt;"",'Your debts'!$F$15&lt;'Your debts'!$F$10),BA313,0)))))</f>
        <v/>
      </c>
      <c r="AD313" s="33">
        <f>AB313-AC313</f>
        <v/>
      </c>
      <c r="AE313" s="33">
        <f>IF(AI312&lt;=0,0,ROUND(AI312*(1+'Your debts'!$D$11/1200),2))</f>
        <v/>
      </c>
      <c r="AF313" s="33">
        <f>IF(AE313&lt;=0,0,MIN('Your debts'!$E$11,AE313))</f>
        <v/>
      </c>
      <c r="AG313" s="33">
        <f>AE313-AF313</f>
        <v/>
      </c>
      <c r="AH313" s="33">
        <f>IF('Your debts'!$F$11="",0,MIN(AG313,MAX(0,MAX(0,'Your debts'!$C$19-(G313+L313+Q313+V313+AA313+AF313+AK313+AP313+AU313+AZ313))-(IF(AND('Your debts'!$F$6&lt;&gt;"",'Your debts'!$F$11&lt;&gt;"",'Your debts'!$F$6&lt;'Your debts'!$F$11),H313,0)+IF(AND('Your debts'!$F$7&lt;&gt;"",'Your debts'!$F$11&lt;&gt;"",'Your debts'!$F$7&lt;'Your debts'!$F$11),M313,0)+IF(AND('Your debts'!$F$8&lt;&gt;"",'Your debts'!$F$11&lt;&gt;"",'Your debts'!$F$8&lt;'Your debts'!$F$11),R313,0)+IF(AND('Your debts'!$F$9&lt;&gt;"",'Your debts'!$F$11&lt;&gt;"",'Your debts'!$F$9&lt;'Your debts'!$F$11),W313,0)+IF(AND('Your debts'!$F$10&lt;&gt;"",'Your debts'!$F$11&lt;&gt;"",'Your debts'!$F$10&lt;'Your debts'!$F$11),AB313,0)+IF(AND('Your debts'!$F$12&lt;&gt;"",'Your debts'!$F$11&lt;&gt;"",'Your debts'!$F$12&lt;'Your debts'!$F$11),AL313,0)+IF(AND('Your debts'!$F$13&lt;&gt;"",'Your debts'!$F$11&lt;&gt;"",'Your debts'!$F$13&lt;'Your debts'!$F$11),AQ313,0)+IF(AND('Your debts'!$F$14&lt;&gt;"",'Your debts'!$F$11&lt;&gt;"",'Your debts'!$F$14&lt;'Your debts'!$F$11),AV313,0)+IF(AND('Your debts'!$F$15&lt;&gt;"",'Your debts'!$F$11&lt;&gt;"",'Your debts'!$F$15&lt;'Your debts'!$F$11),BA313,0)))))</f>
        <v/>
      </c>
      <c r="AI313" s="33">
        <f>AG313-AH313</f>
        <v/>
      </c>
      <c r="AJ313" s="33">
        <f>IF(AN312&lt;=0,0,ROUND(AN312*(1+'Your debts'!$D$12/1200),2))</f>
        <v/>
      </c>
      <c r="AK313" s="33">
        <f>IF(AJ313&lt;=0,0,MIN('Your debts'!$E$12,AJ313))</f>
        <v/>
      </c>
      <c r="AL313" s="33">
        <f>AJ313-AK313</f>
        <v/>
      </c>
      <c r="AM313" s="33">
        <f>IF('Your debts'!$F$12="",0,MIN(AL313,MAX(0,MAX(0,'Your debts'!$C$19-(G313+L313+Q313+V313+AA313+AF313+AK313+AP313+AU313+AZ313))-(IF(AND('Your debts'!$F$6&lt;&gt;"",'Your debts'!$F$12&lt;&gt;"",'Your debts'!$F$6&lt;'Your debts'!$F$12),H313,0)+IF(AND('Your debts'!$F$7&lt;&gt;"",'Your debts'!$F$12&lt;&gt;"",'Your debts'!$F$7&lt;'Your debts'!$F$12),M313,0)+IF(AND('Your debts'!$F$8&lt;&gt;"",'Your debts'!$F$12&lt;&gt;"",'Your debts'!$F$8&lt;'Your debts'!$F$12),R313,0)+IF(AND('Your debts'!$F$9&lt;&gt;"",'Your debts'!$F$12&lt;&gt;"",'Your debts'!$F$9&lt;'Your debts'!$F$12),W313,0)+IF(AND('Your debts'!$F$10&lt;&gt;"",'Your debts'!$F$12&lt;&gt;"",'Your debts'!$F$10&lt;'Your debts'!$F$12),AB313,0)+IF(AND('Your debts'!$F$11&lt;&gt;"",'Your debts'!$F$12&lt;&gt;"",'Your debts'!$F$11&lt;'Your debts'!$F$12),AG313,0)+IF(AND('Your debts'!$F$13&lt;&gt;"",'Your debts'!$F$12&lt;&gt;"",'Your debts'!$F$13&lt;'Your debts'!$F$12),AQ313,0)+IF(AND('Your debts'!$F$14&lt;&gt;"",'Your debts'!$F$12&lt;&gt;"",'Your debts'!$F$14&lt;'Your debts'!$F$12),AV313,0)+IF(AND('Your debts'!$F$15&lt;&gt;"",'Your debts'!$F$12&lt;&gt;"",'Your debts'!$F$15&lt;'Your debts'!$F$12),BA313,0)))))</f>
        <v/>
      </c>
      <c r="AN313" s="33">
        <f>AL313-AM313</f>
        <v/>
      </c>
      <c r="AO313" s="33">
        <f>IF(AS312&lt;=0,0,ROUND(AS312*(1+'Your debts'!$D$13/1200),2))</f>
        <v/>
      </c>
      <c r="AP313" s="33">
        <f>IF(AO313&lt;=0,0,MIN('Your debts'!$E$13,AO313))</f>
        <v/>
      </c>
      <c r="AQ313" s="33">
        <f>AO313-AP313</f>
        <v/>
      </c>
      <c r="AR313" s="33">
        <f>IF('Your debts'!$F$13="",0,MIN(AQ313,MAX(0,MAX(0,'Your debts'!$C$19-(G313+L313+Q313+V313+AA313+AF313+AK313+AP313+AU313+AZ313))-(IF(AND('Your debts'!$F$6&lt;&gt;"",'Your debts'!$F$13&lt;&gt;"",'Your debts'!$F$6&lt;'Your debts'!$F$13),H313,0)+IF(AND('Your debts'!$F$7&lt;&gt;"",'Your debts'!$F$13&lt;&gt;"",'Your debts'!$F$7&lt;'Your debts'!$F$13),M313,0)+IF(AND('Your debts'!$F$8&lt;&gt;"",'Your debts'!$F$13&lt;&gt;"",'Your debts'!$F$8&lt;'Your debts'!$F$13),R313,0)+IF(AND('Your debts'!$F$9&lt;&gt;"",'Your debts'!$F$13&lt;&gt;"",'Your debts'!$F$9&lt;'Your debts'!$F$13),W313,0)+IF(AND('Your debts'!$F$10&lt;&gt;"",'Your debts'!$F$13&lt;&gt;"",'Your debts'!$F$10&lt;'Your debts'!$F$13),AB313,0)+IF(AND('Your debts'!$F$11&lt;&gt;"",'Your debts'!$F$13&lt;&gt;"",'Your debts'!$F$11&lt;'Your debts'!$F$13),AG313,0)+IF(AND('Your debts'!$F$12&lt;&gt;"",'Your debts'!$F$13&lt;&gt;"",'Your debts'!$F$12&lt;'Your debts'!$F$13),AL313,0)+IF(AND('Your debts'!$F$14&lt;&gt;"",'Your debts'!$F$13&lt;&gt;"",'Your debts'!$F$14&lt;'Your debts'!$F$13),AV313,0)+IF(AND('Your debts'!$F$15&lt;&gt;"",'Your debts'!$F$13&lt;&gt;"",'Your debts'!$F$15&lt;'Your debts'!$F$13),BA313,0)))))</f>
        <v/>
      </c>
      <c r="AS313" s="33">
        <f>AQ313-AR313</f>
        <v/>
      </c>
      <c r="AT313" s="33">
        <f>IF(AX312&lt;=0,0,ROUND(AX312*(1+'Your debts'!$D$14/1200),2))</f>
        <v/>
      </c>
      <c r="AU313" s="33">
        <f>IF(AT313&lt;=0,0,MIN('Your debts'!$E$14,AT313))</f>
        <v/>
      </c>
      <c r="AV313" s="33">
        <f>AT313-AU313</f>
        <v/>
      </c>
      <c r="AW313" s="33">
        <f>IF('Your debts'!$F$14="",0,MIN(AV313,MAX(0,MAX(0,'Your debts'!$C$19-(G313+L313+Q313+V313+AA313+AF313+AK313+AP313+AU313+AZ313))-(IF(AND('Your debts'!$F$6&lt;&gt;"",'Your debts'!$F$14&lt;&gt;"",'Your debts'!$F$6&lt;'Your debts'!$F$14),H313,0)+IF(AND('Your debts'!$F$7&lt;&gt;"",'Your debts'!$F$14&lt;&gt;"",'Your debts'!$F$7&lt;'Your debts'!$F$14),M313,0)+IF(AND('Your debts'!$F$8&lt;&gt;"",'Your debts'!$F$14&lt;&gt;"",'Your debts'!$F$8&lt;'Your debts'!$F$14),R313,0)+IF(AND('Your debts'!$F$9&lt;&gt;"",'Your debts'!$F$14&lt;&gt;"",'Your debts'!$F$9&lt;'Your debts'!$F$14),W313,0)+IF(AND('Your debts'!$F$10&lt;&gt;"",'Your debts'!$F$14&lt;&gt;"",'Your debts'!$F$10&lt;'Your debts'!$F$14),AB313,0)+IF(AND('Your debts'!$F$11&lt;&gt;"",'Your debts'!$F$14&lt;&gt;"",'Your debts'!$F$11&lt;'Your debts'!$F$14),AG313,0)+IF(AND('Your debts'!$F$12&lt;&gt;"",'Your debts'!$F$14&lt;&gt;"",'Your debts'!$F$12&lt;'Your debts'!$F$14),AL313,0)+IF(AND('Your debts'!$F$13&lt;&gt;"",'Your debts'!$F$14&lt;&gt;"",'Your debts'!$F$13&lt;'Your debts'!$F$14),AQ313,0)+IF(AND('Your debts'!$F$15&lt;&gt;"",'Your debts'!$F$14&lt;&gt;"",'Your debts'!$F$15&lt;'Your debts'!$F$14),BA313,0)))))</f>
        <v/>
      </c>
      <c r="AX313" s="33">
        <f>AV313-AW313</f>
        <v/>
      </c>
      <c r="AY313" s="33">
        <f>IF(BC312&lt;=0,0,ROUND(BC312*(1+'Your debts'!$D$15/1200),2))</f>
        <v/>
      </c>
      <c r="AZ313" s="33">
        <f>IF(AY313&lt;=0,0,MIN('Your debts'!$E$15,AY313))</f>
        <v/>
      </c>
      <c r="BA313" s="33">
        <f>AY313-AZ313</f>
        <v/>
      </c>
      <c r="BB313" s="33">
        <f>IF('Your debts'!$F$15="",0,MIN(BA313,MAX(0,MAX(0,'Your debts'!$C$19-(G313+L313+Q313+V313+AA313+AF313+AK313+AP313+AU313+AZ313))-(IF(AND('Your debts'!$F$6&lt;&gt;"",'Your debts'!$F$15&lt;&gt;"",'Your debts'!$F$6&lt;'Your debts'!$F$15),H313,0)+IF(AND('Your debts'!$F$7&lt;&gt;"",'Your debts'!$F$15&lt;&gt;"",'Your debts'!$F$7&lt;'Your debts'!$F$15),M313,0)+IF(AND('Your debts'!$F$8&lt;&gt;"",'Your debts'!$F$15&lt;&gt;"",'Your debts'!$F$8&lt;'Your debts'!$F$15),R313,0)+IF(AND('Your debts'!$F$9&lt;&gt;"",'Your debts'!$F$15&lt;&gt;"",'Your debts'!$F$9&lt;'Your debts'!$F$15),W313,0)+IF(AND('Your debts'!$F$10&lt;&gt;"",'Your debts'!$F$15&lt;&gt;"",'Your debts'!$F$10&lt;'Your debts'!$F$15),AB313,0)+IF(AND('Your debts'!$F$11&lt;&gt;"",'Your debts'!$F$15&lt;&gt;"",'Your debts'!$F$11&lt;'Your debts'!$F$15),AG313,0)+IF(AND('Your debts'!$F$12&lt;&gt;"",'Your debts'!$F$15&lt;&gt;"",'Your debts'!$F$12&lt;'Your debts'!$F$15),AL313,0)+IF(AND('Your debts'!$F$13&lt;&gt;"",'Your debts'!$F$15&lt;&gt;"",'Your debts'!$F$13&lt;'Your debts'!$F$15),AQ313,0)+IF(AND('Your debts'!$F$14&lt;&gt;"",'Your debts'!$F$15&lt;&gt;"",'Your debts'!$F$14&lt;'Your debts'!$F$15),AV313,0)))))</f>
        <v/>
      </c>
      <c r="BC313" s="33">
        <f>BA313-BB313</f>
        <v/>
      </c>
    </row>
    <row r="314">
      <c r="A314" s="30" t="n">
        <v>299</v>
      </c>
      <c r="B314" s="31">
        <f>EDATE($B$15,299)</f>
        <v/>
      </c>
      <c r="C314" s="32">
        <f>IF(J313&lt;=0,0,F314-J313)+IF(O313&lt;=0,0,K314-O313)+IF(T313&lt;=0,0,P314-T313)+IF(Y313&lt;=0,0,U314-Y313)+IF(AD313&lt;=0,0,Z314-AD313)+IF(AI313&lt;=0,0,AE314-AI313)+IF(AN313&lt;=0,0,AJ314-AN313)+IF(AS313&lt;=0,0,AO314-AS313)+IF(AX313&lt;=0,0,AT314-AX313)+IF(BC313&lt;=0,0,AY314-BC313)</f>
        <v/>
      </c>
      <c r="D314" s="32">
        <f>G314+I314+L314+N314+Q314+S314+V314+X314+AA314+AC314+AF314+AH314+AK314+AM314+AP314+AR314+AU314+AW314+AZ314+BB314</f>
        <v/>
      </c>
      <c r="E314" s="32">
        <f>J314+O314+T314+Y314+AD314+AI314+AN314+AS314+AX314+BC314</f>
        <v/>
      </c>
      <c r="F314" s="33">
        <f>IF(J313&lt;=0,0,ROUND(J313*(1+'Your debts'!$D$6/1200),2))</f>
        <v/>
      </c>
      <c r="G314" s="33">
        <f>IF(F314&lt;=0,0,MIN('Your debts'!$E$6,F314))</f>
        <v/>
      </c>
      <c r="H314" s="33">
        <f>F314-G314</f>
        <v/>
      </c>
      <c r="I314" s="33">
        <f>IF('Your debts'!$F$6="",0,MIN(H314,MAX(0,MAX(0,'Your debts'!$C$19-(G314+L314+Q314+V314+AA314+AF314+AK314+AP314+AU314+AZ314))-(IF(AND('Your debts'!$F$7&lt;&gt;"",'Your debts'!$F$6&lt;&gt;"",'Your debts'!$F$7&lt;'Your debts'!$F$6),M314,0)+IF(AND('Your debts'!$F$8&lt;&gt;"",'Your debts'!$F$6&lt;&gt;"",'Your debts'!$F$8&lt;'Your debts'!$F$6),R314,0)+IF(AND('Your debts'!$F$9&lt;&gt;"",'Your debts'!$F$6&lt;&gt;"",'Your debts'!$F$9&lt;'Your debts'!$F$6),W314,0)+IF(AND('Your debts'!$F$10&lt;&gt;"",'Your debts'!$F$6&lt;&gt;"",'Your debts'!$F$10&lt;'Your debts'!$F$6),AB314,0)+IF(AND('Your debts'!$F$11&lt;&gt;"",'Your debts'!$F$6&lt;&gt;"",'Your debts'!$F$11&lt;'Your debts'!$F$6),AG314,0)+IF(AND('Your debts'!$F$12&lt;&gt;"",'Your debts'!$F$6&lt;&gt;"",'Your debts'!$F$12&lt;'Your debts'!$F$6),AL314,0)+IF(AND('Your debts'!$F$13&lt;&gt;"",'Your debts'!$F$6&lt;&gt;"",'Your debts'!$F$13&lt;'Your debts'!$F$6),AQ314,0)+IF(AND('Your debts'!$F$14&lt;&gt;"",'Your debts'!$F$6&lt;&gt;"",'Your debts'!$F$14&lt;'Your debts'!$F$6),AV314,0)+IF(AND('Your debts'!$F$15&lt;&gt;"",'Your debts'!$F$6&lt;&gt;"",'Your debts'!$F$15&lt;'Your debts'!$F$6),BA314,0)))))</f>
        <v/>
      </c>
      <c r="J314" s="33">
        <f>H314-I314</f>
        <v/>
      </c>
      <c r="K314" s="33">
        <f>IF(O313&lt;=0,0,ROUND(O313*(1+'Your debts'!$D$7/1200),2))</f>
        <v/>
      </c>
      <c r="L314" s="33">
        <f>IF(K314&lt;=0,0,MIN('Your debts'!$E$7,K314))</f>
        <v/>
      </c>
      <c r="M314" s="33">
        <f>K314-L314</f>
        <v/>
      </c>
      <c r="N314" s="33">
        <f>IF('Your debts'!$F$7="",0,MIN(M314,MAX(0,MAX(0,'Your debts'!$C$19-(G314+L314+Q314+V314+AA314+AF314+AK314+AP314+AU314+AZ314))-(IF(AND('Your debts'!$F$6&lt;&gt;"",'Your debts'!$F$7&lt;&gt;"",'Your debts'!$F$6&lt;'Your debts'!$F$7),H314,0)+IF(AND('Your debts'!$F$8&lt;&gt;"",'Your debts'!$F$7&lt;&gt;"",'Your debts'!$F$8&lt;'Your debts'!$F$7),R314,0)+IF(AND('Your debts'!$F$9&lt;&gt;"",'Your debts'!$F$7&lt;&gt;"",'Your debts'!$F$9&lt;'Your debts'!$F$7),W314,0)+IF(AND('Your debts'!$F$10&lt;&gt;"",'Your debts'!$F$7&lt;&gt;"",'Your debts'!$F$10&lt;'Your debts'!$F$7),AB314,0)+IF(AND('Your debts'!$F$11&lt;&gt;"",'Your debts'!$F$7&lt;&gt;"",'Your debts'!$F$11&lt;'Your debts'!$F$7),AG314,0)+IF(AND('Your debts'!$F$12&lt;&gt;"",'Your debts'!$F$7&lt;&gt;"",'Your debts'!$F$12&lt;'Your debts'!$F$7),AL314,0)+IF(AND('Your debts'!$F$13&lt;&gt;"",'Your debts'!$F$7&lt;&gt;"",'Your debts'!$F$13&lt;'Your debts'!$F$7),AQ314,0)+IF(AND('Your debts'!$F$14&lt;&gt;"",'Your debts'!$F$7&lt;&gt;"",'Your debts'!$F$14&lt;'Your debts'!$F$7),AV314,0)+IF(AND('Your debts'!$F$15&lt;&gt;"",'Your debts'!$F$7&lt;&gt;"",'Your debts'!$F$15&lt;'Your debts'!$F$7),BA314,0)))))</f>
        <v/>
      </c>
      <c r="O314" s="33">
        <f>M314-N314</f>
        <v/>
      </c>
      <c r="P314" s="33">
        <f>IF(T313&lt;=0,0,ROUND(T313*(1+'Your debts'!$D$8/1200),2))</f>
        <v/>
      </c>
      <c r="Q314" s="33">
        <f>IF(P314&lt;=0,0,MIN('Your debts'!$E$8,P314))</f>
        <v/>
      </c>
      <c r="R314" s="33">
        <f>P314-Q314</f>
        <v/>
      </c>
      <c r="S314" s="33">
        <f>IF('Your debts'!$F$8="",0,MIN(R314,MAX(0,MAX(0,'Your debts'!$C$19-(G314+L314+Q314+V314+AA314+AF314+AK314+AP314+AU314+AZ314))-(IF(AND('Your debts'!$F$6&lt;&gt;"",'Your debts'!$F$8&lt;&gt;"",'Your debts'!$F$6&lt;'Your debts'!$F$8),H314,0)+IF(AND('Your debts'!$F$7&lt;&gt;"",'Your debts'!$F$8&lt;&gt;"",'Your debts'!$F$7&lt;'Your debts'!$F$8),M314,0)+IF(AND('Your debts'!$F$9&lt;&gt;"",'Your debts'!$F$8&lt;&gt;"",'Your debts'!$F$9&lt;'Your debts'!$F$8),W314,0)+IF(AND('Your debts'!$F$10&lt;&gt;"",'Your debts'!$F$8&lt;&gt;"",'Your debts'!$F$10&lt;'Your debts'!$F$8),AB314,0)+IF(AND('Your debts'!$F$11&lt;&gt;"",'Your debts'!$F$8&lt;&gt;"",'Your debts'!$F$11&lt;'Your debts'!$F$8),AG314,0)+IF(AND('Your debts'!$F$12&lt;&gt;"",'Your debts'!$F$8&lt;&gt;"",'Your debts'!$F$12&lt;'Your debts'!$F$8),AL314,0)+IF(AND('Your debts'!$F$13&lt;&gt;"",'Your debts'!$F$8&lt;&gt;"",'Your debts'!$F$13&lt;'Your debts'!$F$8),AQ314,0)+IF(AND('Your debts'!$F$14&lt;&gt;"",'Your debts'!$F$8&lt;&gt;"",'Your debts'!$F$14&lt;'Your debts'!$F$8),AV314,0)+IF(AND('Your debts'!$F$15&lt;&gt;"",'Your debts'!$F$8&lt;&gt;"",'Your debts'!$F$15&lt;'Your debts'!$F$8),BA314,0)))))</f>
        <v/>
      </c>
      <c r="T314" s="33">
        <f>R314-S314</f>
        <v/>
      </c>
      <c r="U314" s="33">
        <f>IF(Y313&lt;=0,0,ROUND(Y313*(1+'Your debts'!$D$9/1200),2))</f>
        <v/>
      </c>
      <c r="V314" s="33">
        <f>IF(U314&lt;=0,0,MIN('Your debts'!$E$9,U314))</f>
        <v/>
      </c>
      <c r="W314" s="33">
        <f>U314-V314</f>
        <v/>
      </c>
      <c r="X314" s="33">
        <f>IF('Your debts'!$F$9="",0,MIN(W314,MAX(0,MAX(0,'Your debts'!$C$19-(G314+L314+Q314+V314+AA314+AF314+AK314+AP314+AU314+AZ314))-(IF(AND('Your debts'!$F$6&lt;&gt;"",'Your debts'!$F$9&lt;&gt;"",'Your debts'!$F$6&lt;'Your debts'!$F$9),H314,0)+IF(AND('Your debts'!$F$7&lt;&gt;"",'Your debts'!$F$9&lt;&gt;"",'Your debts'!$F$7&lt;'Your debts'!$F$9),M314,0)+IF(AND('Your debts'!$F$8&lt;&gt;"",'Your debts'!$F$9&lt;&gt;"",'Your debts'!$F$8&lt;'Your debts'!$F$9),R314,0)+IF(AND('Your debts'!$F$10&lt;&gt;"",'Your debts'!$F$9&lt;&gt;"",'Your debts'!$F$10&lt;'Your debts'!$F$9),AB314,0)+IF(AND('Your debts'!$F$11&lt;&gt;"",'Your debts'!$F$9&lt;&gt;"",'Your debts'!$F$11&lt;'Your debts'!$F$9),AG314,0)+IF(AND('Your debts'!$F$12&lt;&gt;"",'Your debts'!$F$9&lt;&gt;"",'Your debts'!$F$12&lt;'Your debts'!$F$9),AL314,0)+IF(AND('Your debts'!$F$13&lt;&gt;"",'Your debts'!$F$9&lt;&gt;"",'Your debts'!$F$13&lt;'Your debts'!$F$9),AQ314,0)+IF(AND('Your debts'!$F$14&lt;&gt;"",'Your debts'!$F$9&lt;&gt;"",'Your debts'!$F$14&lt;'Your debts'!$F$9),AV314,0)+IF(AND('Your debts'!$F$15&lt;&gt;"",'Your debts'!$F$9&lt;&gt;"",'Your debts'!$F$15&lt;'Your debts'!$F$9),BA314,0)))))</f>
        <v/>
      </c>
      <c r="Y314" s="33">
        <f>W314-X314</f>
        <v/>
      </c>
      <c r="Z314" s="33">
        <f>IF(AD313&lt;=0,0,ROUND(AD313*(1+'Your debts'!$D$10/1200),2))</f>
        <v/>
      </c>
      <c r="AA314" s="33">
        <f>IF(Z314&lt;=0,0,MIN('Your debts'!$E$10,Z314))</f>
        <v/>
      </c>
      <c r="AB314" s="33">
        <f>Z314-AA314</f>
        <v/>
      </c>
      <c r="AC314" s="33">
        <f>IF('Your debts'!$F$10="",0,MIN(AB314,MAX(0,MAX(0,'Your debts'!$C$19-(G314+L314+Q314+V314+AA314+AF314+AK314+AP314+AU314+AZ314))-(IF(AND('Your debts'!$F$6&lt;&gt;"",'Your debts'!$F$10&lt;&gt;"",'Your debts'!$F$6&lt;'Your debts'!$F$10),H314,0)+IF(AND('Your debts'!$F$7&lt;&gt;"",'Your debts'!$F$10&lt;&gt;"",'Your debts'!$F$7&lt;'Your debts'!$F$10),M314,0)+IF(AND('Your debts'!$F$8&lt;&gt;"",'Your debts'!$F$10&lt;&gt;"",'Your debts'!$F$8&lt;'Your debts'!$F$10),R314,0)+IF(AND('Your debts'!$F$9&lt;&gt;"",'Your debts'!$F$10&lt;&gt;"",'Your debts'!$F$9&lt;'Your debts'!$F$10),W314,0)+IF(AND('Your debts'!$F$11&lt;&gt;"",'Your debts'!$F$10&lt;&gt;"",'Your debts'!$F$11&lt;'Your debts'!$F$10),AG314,0)+IF(AND('Your debts'!$F$12&lt;&gt;"",'Your debts'!$F$10&lt;&gt;"",'Your debts'!$F$12&lt;'Your debts'!$F$10),AL314,0)+IF(AND('Your debts'!$F$13&lt;&gt;"",'Your debts'!$F$10&lt;&gt;"",'Your debts'!$F$13&lt;'Your debts'!$F$10),AQ314,0)+IF(AND('Your debts'!$F$14&lt;&gt;"",'Your debts'!$F$10&lt;&gt;"",'Your debts'!$F$14&lt;'Your debts'!$F$10),AV314,0)+IF(AND('Your debts'!$F$15&lt;&gt;"",'Your debts'!$F$10&lt;&gt;"",'Your debts'!$F$15&lt;'Your debts'!$F$10),BA314,0)))))</f>
        <v/>
      </c>
      <c r="AD314" s="33">
        <f>AB314-AC314</f>
        <v/>
      </c>
      <c r="AE314" s="33">
        <f>IF(AI313&lt;=0,0,ROUND(AI313*(1+'Your debts'!$D$11/1200),2))</f>
        <v/>
      </c>
      <c r="AF314" s="33">
        <f>IF(AE314&lt;=0,0,MIN('Your debts'!$E$11,AE314))</f>
        <v/>
      </c>
      <c r="AG314" s="33">
        <f>AE314-AF314</f>
        <v/>
      </c>
      <c r="AH314" s="33">
        <f>IF('Your debts'!$F$11="",0,MIN(AG314,MAX(0,MAX(0,'Your debts'!$C$19-(G314+L314+Q314+V314+AA314+AF314+AK314+AP314+AU314+AZ314))-(IF(AND('Your debts'!$F$6&lt;&gt;"",'Your debts'!$F$11&lt;&gt;"",'Your debts'!$F$6&lt;'Your debts'!$F$11),H314,0)+IF(AND('Your debts'!$F$7&lt;&gt;"",'Your debts'!$F$11&lt;&gt;"",'Your debts'!$F$7&lt;'Your debts'!$F$11),M314,0)+IF(AND('Your debts'!$F$8&lt;&gt;"",'Your debts'!$F$11&lt;&gt;"",'Your debts'!$F$8&lt;'Your debts'!$F$11),R314,0)+IF(AND('Your debts'!$F$9&lt;&gt;"",'Your debts'!$F$11&lt;&gt;"",'Your debts'!$F$9&lt;'Your debts'!$F$11),W314,0)+IF(AND('Your debts'!$F$10&lt;&gt;"",'Your debts'!$F$11&lt;&gt;"",'Your debts'!$F$10&lt;'Your debts'!$F$11),AB314,0)+IF(AND('Your debts'!$F$12&lt;&gt;"",'Your debts'!$F$11&lt;&gt;"",'Your debts'!$F$12&lt;'Your debts'!$F$11),AL314,0)+IF(AND('Your debts'!$F$13&lt;&gt;"",'Your debts'!$F$11&lt;&gt;"",'Your debts'!$F$13&lt;'Your debts'!$F$11),AQ314,0)+IF(AND('Your debts'!$F$14&lt;&gt;"",'Your debts'!$F$11&lt;&gt;"",'Your debts'!$F$14&lt;'Your debts'!$F$11),AV314,0)+IF(AND('Your debts'!$F$15&lt;&gt;"",'Your debts'!$F$11&lt;&gt;"",'Your debts'!$F$15&lt;'Your debts'!$F$11),BA314,0)))))</f>
        <v/>
      </c>
      <c r="AI314" s="33">
        <f>AG314-AH314</f>
        <v/>
      </c>
      <c r="AJ314" s="33">
        <f>IF(AN313&lt;=0,0,ROUND(AN313*(1+'Your debts'!$D$12/1200),2))</f>
        <v/>
      </c>
      <c r="AK314" s="33">
        <f>IF(AJ314&lt;=0,0,MIN('Your debts'!$E$12,AJ314))</f>
        <v/>
      </c>
      <c r="AL314" s="33">
        <f>AJ314-AK314</f>
        <v/>
      </c>
      <c r="AM314" s="33">
        <f>IF('Your debts'!$F$12="",0,MIN(AL314,MAX(0,MAX(0,'Your debts'!$C$19-(G314+L314+Q314+V314+AA314+AF314+AK314+AP314+AU314+AZ314))-(IF(AND('Your debts'!$F$6&lt;&gt;"",'Your debts'!$F$12&lt;&gt;"",'Your debts'!$F$6&lt;'Your debts'!$F$12),H314,0)+IF(AND('Your debts'!$F$7&lt;&gt;"",'Your debts'!$F$12&lt;&gt;"",'Your debts'!$F$7&lt;'Your debts'!$F$12),M314,0)+IF(AND('Your debts'!$F$8&lt;&gt;"",'Your debts'!$F$12&lt;&gt;"",'Your debts'!$F$8&lt;'Your debts'!$F$12),R314,0)+IF(AND('Your debts'!$F$9&lt;&gt;"",'Your debts'!$F$12&lt;&gt;"",'Your debts'!$F$9&lt;'Your debts'!$F$12),W314,0)+IF(AND('Your debts'!$F$10&lt;&gt;"",'Your debts'!$F$12&lt;&gt;"",'Your debts'!$F$10&lt;'Your debts'!$F$12),AB314,0)+IF(AND('Your debts'!$F$11&lt;&gt;"",'Your debts'!$F$12&lt;&gt;"",'Your debts'!$F$11&lt;'Your debts'!$F$12),AG314,0)+IF(AND('Your debts'!$F$13&lt;&gt;"",'Your debts'!$F$12&lt;&gt;"",'Your debts'!$F$13&lt;'Your debts'!$F$12),AQ314,0)+IF(AND('Your debts'!$F$14&lt;&gt;"",'Your debts'!$F$12&lt;&gt;"",'Your debts'!$F$14&lt;'Your debts'!$F$12),AV314,0)+IF(AND('Your debts'!$F$15&lt;&gt;"",'Your debts'!$F$12&lt;&gt;"",'Your debts'!$F$15&lt;'Your debts'!$F$12),BA314,0)))))</f>
        <v/>
      </c>
      <c r="AN314" s="33">
        <f>AL314-AM314</f>
        <v/>
      </c>
      <c r="AO314" s="33">
        <f>IF(AS313&lt;=0,0,ROUND(AS313*(1+'Your debts'!$D$13/1200),2))</f>
        <v/>
      </c>
      <c r="AP314" s="33">
        <f>IF(AO314&lt;=0,0,MIN('Your debts'!$E$13,AO314))</f>
        <v/>
      </c>
      <c r="AQ314" s="33">
        <f>AO314-AP314</f>
        <v/>
      </c>
      <c r="AR314" s="33">
        <f>IF('Your debts'!$F$13="",0,MIN(AQ314,MAX(0,MAX(0,'Your debts'!$C$19-(G314+L314+Q314+V314+AA314+AF314+AK314+AP314+AU314+AZ314))-(IF(AND('Your debts'!$F$6&lt;&gt;"",'Your debts'!$F$13&lt;&gt;"",'Your debts'!$F$6&lt;'Your debts'!$F$13),H314,0)+IF(AND('Your debts'!$F$7&lt;&gt;"",'Your debts'!$F$13&lt;&gt;"",'Your debts'!$F$7&lt;'Your debts'!$F$13),M314,0)+IF(AND('Your debts'!$F$8&lt;&gt;"",'Your debts'!$F$13&lt;&gt;"",'Your debts'!$F$8&lt;'Your debts'!$F$13),R314,0)+IF(AND('Your debts'!$F$9&lt;&gt;"",'Your debts'!$F$13&lt;&gt;"",'Your debts'!$F$9&lt;'Your debts'!$F$13),W314,0)+IF(AND('Your debts'!$F$10&lt;&gt;"",'Your debts'!$F$13&lt;&gt;"",'Your debts'!$F$10&lt;'Your debts'!$F$13),AB314,0)+IF(AND('Your debts'!$F$11&lt;&gt;"",'Your debts'!$F$13&lt;&gt;"",'Your debts'!$F$11&lt;'Your debts'!$F$13),AG314,0)+IF(AND('Your debts'!$F$12&lt;&gt;"",'Your debts'!$F$13&lt;&gt;"",'Your debts'!$F$12&lt;'Your debts'!$F$13),AL314,0)+IF(AND('Your debts'!$F$14&lt;&gt;"",'Your debts'!$F$13&lt;&gt;"",'Your debts'!$F$14&lt;'Your debts'!$F$13),AV314,0)+IF(AND('Your debts'!$F$15&lt;&gt;"",'Your debts'!$F$13&lt;&gt;"",'Your debts'!$F$15&lt;'Your debts'!$F$13),BA314,0)))))</f>
        <v/>
      </c>
      <c r="AS314" s="33">
        <f>AQ314-AR314</f>
        <v/>
      </c>
      <c r="AT314" s="33">
        <f>IF(AX313&lt;=0,0,ROUND(AX313*(1+'Your debts'!$D$14/1200),2))</f>
        <v/>
      </c>
      <c r="AU314" s="33">
        <f>IF(AT314&lt;=0,0,MIN('Your debts'!$E$14,AT314))</f>
        <v/>
      </c>
      <c r="AV314" s="33">
        <f>AT314-AU314</f>
        <v/>
      </c>
      <c r="AW314" s="33">
        <f>IF('Your debts'!$F$14="",0,MIN(AV314,MAX(0,MAX(0,'Your debts'!$C$19-(G314+L314+Q314+V314+AA314+AF314+AK314+AP314+AU314+AZ314))-(IF(AND('Your debts'!$F$6&lt;&gt;"",'Your debts'!$F$14&lt;&gt;"",'Your debts'!$F$6&lt;'Your debts'!$F$14),H314,0)+IF(AND('Your debts'!$F$7&lt;&gt;"",'Your debts'!$F$14&lt;&gt;"",'Your debts'!$F$7&lt;'Your debts'!$F$14),M314,0)+IF(AND('Your debts'!$F$8&lt;&gt;"",'Your debts'!$F$14&lt;&gt;"",'Your debts'!$F$8&lt;'Your debts'!$F$14),R314,0)+IF(AND('Your debts'!$F$9&lt;&gt;"",'Your debts'!$F$14&lt;&gt;"",'Your debts'!$F$9&lt;'Your debts'!$F$14),W314,0)+IF(AND('Your debts'!$F$10&lt;&gt;"",'Your debts'!$F$14&lt;&gt;"",'Your debts'!$F$10&lt;'Your debts'!$F$14),AB314,0)+IF(AND('Your debts'!$F$11&lt;&gt;"",'Your debts'!$F$14&lt;&gt;"",'Your debts'!$F$11&lt;'Your debts'!$F$14),AG314,0)+IF(AND('Your debts'!$F$12&lt;&gt;"",'Your debts'!$F$14&lt;&gt;"",'Your debts'!$F$12&lt;'Your debts'!$F$14),AL314,0)+IF(AND('Your debts'!$F$13&lt;&gt;"",'Your debts'!$F$14&lt;&gt;"",'Your debts'!$F$13&lt;'Your debts'!$F$14),AQ314,0)+IF(AND('Your debts'!$F$15&lt;&gt;"",'Your debts'!$F$14&lt;&gt;"",'Your debts'!$F$15&lt;'Your debts'!$F$14),BA314,0)))))</f>
        <v/>
      </c>
      <c r="AX314" s="33">
        <f>AV314-AW314</f>
        <v/>
      </c>
      <c r="AY314" s="33">
        <f>IF(BC313&lt;=0,0,ROUND(BC313*(1+'Your debts'!$D$15/1200),2))</f>
        <v/>
      </c>
      <c r="AZ314" s="33">
        <f>IF(AY314&lt;=0,0,MIN('Your debts'!$E$15,AY314))</f>
        <v/>
      </c>
      <c r="BA314" s="33">
        <f>AY314-AZ314</f>
        <v/>
      </c>
      <c r="BB314" s="33">
        <f>IF('Your debts'!$F$15="",0,MIN(BA314,MAX(0,MAX(0,'Your debts'!$C$19-(G314+L314+Q314+V314+AA314+AF314+AK314+AP314+AU314+AZ314))-(IF(AND('Your debts'!$F$6&lt;&gt;"",'Your debts'!$F$15&lt;&gt;"",'Your debts'!$F$6&lt;'Your debts'!$F$15),H314,0)+IF(AND('Your debts'!$F$7&lt;&gt;"",'Your debts'!$F$15&lt;&gt;"",'Your debts'!$F$7&lt;'Your debts'!$F$15),M314,0)+IF(AND('Your debts'!$F$8&lt;&gt;"",'Your debts'!$F$15&lt;&gt;"",'Your debts'!$F$8&lt;'Your debts'!$F$15),R314,0)+IF(AND('Your debts'!$F$9&lt;&gt;"",'Your debts'!$F$15&lt;&gt;"",'Your debts'!$F$9&lt;'Your debts'!$F$15),W314,0)+IF(AND('Your debts'!$F$10&lt;&gt;"",'Your debts'!$F$15&lt;&gt;"",'Your debts'!$F$10&lt;'Your debts'!$F$15),AB314,0)+IF(AND('Your debts'!$F$11&lt;&gt;"",'Your debts'!$F$15&lt;&gt;"",'Your debts'!$F$11&lt;'Your debts'!$F$15),AG314,0)+IF(AND('Your debts'!$F$12&lt;&gt;"",'Your debts'!$F$15&lt;&gt;"",'Your debts'!$F$12&lt;'Your debts'!$F$15),AL314,0)+IF(AND('Your debts'!$F$13&lt;&gt;"",'Your debts'!$F$15&lt;&gt;"",'Your debts'!$F$13&lt;'Your debts'!$F$15),AQ314,0)+IF(AND('Your debts'!$F$14&lt;&gt;"",'Your debts'!$F$15&lt;&gt;"",'Your debts'!$F$14&lt;'Your debts'!$F$15),AV314,0)))))</f>
        <v/>
      </c>
      <c r="BC314" s="33">
        <f>BA314-BB314</f>
        <v/>
      </c>
    </row>
    <row r="315">
      <c r="A315" s="30" t="n">
        <v>300</v>
      </c>
      <c r="B315" s="31">
        <f>EDATE($B$15,300)</f>
        <v/>
      </c>
      <c r="C315" s="32">
        <f>IF(J314&lt;=0,0,F315-J314)+IF(O314&lt;=0,0,K315-O314)+IF(T314&lt;=0,0,P315-T314)+IF(Y314&lt;=0,0,U315-Y314)+IF(AD314&lt;=0,0,Z315-AD314)+IF(AI314&lt;=0,0,AE315-AI314)+IF(AN314&lt;=0,0,AJ315-AN314)+IF(AS314&lt;=0,0,AO315-AS314)+IF(AX314&lt;=0,0,AT315-AX314)+IF(BC314&lt;=0,0,AY315-BC314)</f>
        <v/>
      </c>
      <c r="D315" s="32">
        <f>G315+I315+L315+N315+Q315+S315+V315+X315+AA315+AC315+AF315+AH315+AK315+AM315+AP315+AR315+AU315+AW315+AZ315+BB315</f>
        <v/>
      </c>
      <c r="E315" s="32">
        <f>J315+O315+T315+Y315+AD315+AI315+AN315+AS315+AX315+BC315</f>
        <v/>
      </c>
      <c r="F315" s="33">
        <f>IF(J314&lt;=0,0,ROUND(J314*(1+'Your debts'!$D$6/1200),2))</f>
        <v/>
      </c>
      <c r="G315" s="33">
        <f>IF(F315&lt;=0,0,MIN('Your debts'!$E$6,F315))</f>
        <v/>
      </c>
      <c r="H315" s="33">
        <f>F315-G315</f>
        <v/>
      </c>
      <c r="I315" s="33">
        <f>IF('Your debts'!$F$6="",0,MIN(H315,MAX(0,MAX(0,'Your debts'!$C$19-(G315+L315+Q315+V315+AA315+AF315+AK315+AP315+AU315+AZ315))-(IF(AND('Your debts'!$F$7&lt;&gt;"",'Your debts'!$F$6&lt;&gt;"",'Your debts'!$F$7&lt;'Your debts'!$F$6),M315,0)+IF(AND('Your debts'!$F$8&lt;&gt;"",'Your debts'!$F$6&lt;&gt;"",'Your debts'!$F$8&lt;'Your debts'!$F$6),R315,0)+IF(AND('Your debts'!$F$9&lt;&gt;"",'Your debts'!$F$6&lt;&gt;"",'Your debts'!$F$9&lt;'Your debts'!$F$6),W315,0)+IF(AND('Your debts'!$F$10&lt;&gt;"",'Your debts'!$F$6&lt;&gt;"",'Your debts'!$F$10&lt;'Your debts'!$F$6),AB315,0)+IF(AND('Your debts'!$F$11&lt;&gt;"",'Your debts'!$F$6&lt;&gt;"",'Your debts'!$F$11&lt;'Your debts'!$F$6),AG315,0)+IF(AND('Your debts'!$F$12&lt;&gt;"",'Your debts'!$F$6&lt;&gt;"",'Your debts'!$F$12&lt;'Your debts'!$F$6),AL315,0)+IF(AND('Your debts'!$F$13&lt;&gt;"",'Your debts'!$F$6&lt;&gt;"",'Your debts'!$F$13&lt;'Your debts'!$F$6),AQ315,0)+IF(AND('Your debts'!$F$14&lt;&gt;"",'Your debts'!$F$6&lt;&gt;"",'Your debts'!$F$14&lt;'Your debts'!$F$6),AV315,0)+IF(AND('Your debts'!$F$15&lt;&gt;"",'Your debts'!$F$6&lt;&gt;"",'Your debts'!$F$15&lt;'Your debts'!$F$6),BA315,0)))))</f>
        <v/>
      </c>
      <c r="J315" s="33">
        <f>H315-I315</f>
        <v/>
      </c>
      <c r="K315" s="33">
        <f>IF(O314&lt;=0,0,ROUND(O314*(1+'Your debts'!$D$7/1200),2))</f>
        <v/>
      </c>
      <c r="L315" s="33">
        <f>IF(K315&lt;=0,0,MIN('Your debts'!$E$7,K315))</f>
        <v/>
      </c>
      <c r="M315" s="33">
        <f>K315-L315</f>
        <v/>
      </c>
      <c r="N315" s="33">
        <f>IF('Your debts'!$F$7="",0,MIN(M315,MAX(0,MAX(0,'Your debts'!$C$19-(G315+L315+Q315+V315+AA315+AF315+AK315+AP315+AU315+AZ315))-(IF(AND('Your debts'!$F$6&lt;&gt;"",'Your debts'!$F$7&lt;&gt;"",'Your debts'!$F$6&lt;'Your debts'!$F$7),H315,0)+IF(AND('Your debts'!$F$8&lt;&gt;"",'Your debts'!$F$7&lt;&gt;"",'Your debts'!$F$8&lt;'Your debts'!$F$7),R315,0)+IF(AND('Your debts'!$F$9&lt;&gt;"",'Your debts'!$F$7&lt;&gt;"",'Your debts'!$F$9&lt;'Your debts'!$F$7),W315,0)+IF(AND('Your debts'!$F$10&lt;&gt;"",'Your debts'!$F$7&lt;&gt;"",'Your debts'!$F$10&lt;'Your debts'!$F$7),AB315,0)+IF(AND('Your debts'!$F$11&lt;&gt;"",'Your debts'!$F$7&lt;&gt;"",'Your debts'!$F$11&lt;'Your debts'!$F$7),AG315,0)+IF(AND('Your debts'!$F$12&lt;&gt;"",'Your debts'!$F$7&lt;&gt;"",'Your debts'!$F$12&lt;'Your debts'!$F$7),AL315,0)+IF(AND('Your debts'!$F$13&lt;&gt;"",'Your debts'!$F$7&lt;&gt;"",'Your debts'!$F$13&lt;'Your debts'!$F$7),AQ315,0)+IF(AND('Your debts'!$F$14&lt;&gt;"",'Your debts'!$F$7&lt;&gt;"",'Your debts'!$F$14&lt;'Your debts'!$F$7),AV315,0)+IF(AND('Your debts'!$F$15&lt;&gt;"",'Your debts'!$F$7&lt;&gt;"",'Your debts'!$F$15&lt;'Your debts'!$F$7),BA315,0)))))</f>
        <v/>
      </c>
      <c r="O315" s="33">
        <f>M315-N315</f>
        <v/>
      </c>
      <c r="P315" s="33">
        <f>IF(T314&lt;=0,0,ROUND(T314*(1+'Your debts'!$D$8/1200),2))</f>
        <v/>
      </c>
      <c r="Q315" s="33">
        <f>IF(P315&lt;=0,0,MIN('Your debts'!$E$8,P315))</f>
        <v/>
      </c>
      <c r="R315" s="33">
        <f>P315-Q315</f>
        <v/>
      </c>
      <c r="S315" s="33">
        <f>IF('Your debts'!$F$8="",0,MIN(R315,MAX(0,MAX(0,'Your debts'!$C$19-(G315+L315+Q315+V315+AA315+AF315+AK315+AP315+AU315+AZ315))-(IF(AND('Your debts'!$F$6&lt;&gt;"",'Your debts'!$F$8&lt;&gt;"",'Your debts'!$F$6&lt;'Your debts'!$F$8),H315,0)+IF(AND('Your debts'!$F$7&lt;&gt;"",'Your debts'!$F$8&lt;&gt;"",'Your debts'!$F$7&lt;'Your debts'!$F$8),M315,0)+IF(AND('Your debts'!$F$9&lt;&gt;"",'Your debts'!$F$8&lt;&gt;"",'Your debts'!$F$9&lt;'Your debts'!$F$8),W315,0)+IF(AND('Your debts'!$F$10&lt;&gt;"",'Your debts'!$F$8&lt;&gt;"",'Your debts'!$F$10&lt;'Your debts'!$F$8),AB315,0)+IF(AND('Your debts'!$F$11&lt;&gt;"",'Your debts'!$F$8&lt;&gt;"",'Your debts'!$F$11&lt;'Your debts'!$F$8),AG315,0)+IF(AND('Your debts'!$F$12&lt;&gt;"",'Your debts'!$F$8&lt;&gt;"",'Your debts'!$F$12&lt;'Your debts'!$F$8),AL315,0)+IF(AND('Your debts'!$F$13&lt;&gt;"",'Your debts'!$F$8&lt;&gt;"",'Your debts'!$F$13&lt;'Your debts'!$F$8),AQ315,0)+IF(AND('Your debts'!$F$14&lt;&gt;"",'Your debts'!$F$8&lt;&gt;"",'Your debts'!$F$14&lt;'Your debts'!$F$8),AV315,0)+IF(AND('Your debts'!$F$15&lt;&gt;"",'Your debts'!$F$8&lt;&gt;"",'Your debts'!$F$15&lt;'Your debts'!$F$8),BA315,0)))))</f>
        <v/>
      </c>
      <c r="T315" s="33">
        <f>R315-S315</f>
        <v/>
      </c>
      <c r="U315" s="33">
        <f>IF(Y314&lt;=0,0,ROUND(Y314*(1+'Your debts'!$D$9/1200),2))</f>
        <v/>
      </c>
      <c r="V315" s="33">
        <f>IF(U315&lt;=0,0,MIN('Your debts'!$E$9,U315))</f>
        <v/>
      </c>
      <c r="W315" s="33">
        <f>U315-V315</f>
        <v/>
      </c>
      <c r="X315" s="33">
        <f>IF('Your debts'!$F$9="",0,MIN(W315,MAX(0,MAX(0,'Your debts'!$C$19-(G315+L315+Q315+V315+AA315+AF315+AK315+AP315+AU315+AZ315))-(IF(AND('Your debts'!$F$6&lt;&gt;"",'Your debts'!$F$9&lt;&gt;"",'Your debts'!$F$6&lt;'Your debts'!$F$9),H315,0)+IF(AND('Your debts'!$F$7&lt;&gt;"",'Your debts'!$F$9&lt;&gt;"",'Your debts'!$F$7&lt;'Your debts'!$F$9),M315,0)+IF(AND('Your debts'!$F$8&lt;&gt;"",'Your debts'!$F$9&lt;&gt;"",'Your debts'!$F$8&lt;'Your debts'!$F$9),R315,0)+IF(AND('Your debts'!$F$10&lt;&gt;"",'Your debts'!$F$9&lt;&gt;"",'Your debts'!$F$10&lt;'Your debts'!$F$9),AB315,0)+IF(AND('Your debts'!$F$11&lt;&gt;"",'Your debts'!$F$9&lt;&gt;"",'Your debts'!$F$11&lt;'Your debts'!$F$9),AG315,0)+IF(AND('Your debts'!$F$12&lt;&gt;"",'Your debts'!$F$9&lt;&gt;"",'Your debts'!$F$12&lt;'Your debts'!$F$9),AL315,0)+IF(AND('Your debts'!$F$13&lt;&gt;"",'Your debts'!$F$9&lt;&gt;"",'Your debts'!$F$13&lt;'Your debts'!$F$9),AQ315,0)+IF(AND('Your debts'!$F$14&lt;&gt;"",'Your debts'!$F$9&lt;&gt;"",'Your debts'!$F$14&lt;'Your debts'!$F$9),AV315,0)+IF(AND('Your debts'!$F$15&lt;&gt;"",'Your debts'!$F$9&lt;&gt;"",'Your debts'!$F$15&lt;'Your debts'!$F$9),BA315,0)))))</f>
        <v/>
      </c>
      <c r="Y315" s="33">
        <f>W315-X315</f>
        <v/>
      </c>
      <c r="Z315" s="33">
        <f>IF(AD314&lt;=0,0,ROUND(AD314*(1+'Your debts'!$D$10/1200),2))</f>
        <v/>
      </c>
      <c r="AA315" s="33">
        <f>IF(Z315&lt;=0,0,MIN('Your debts'!$E$10,Z315))</f>
        <v/>
      </c>
      <c r="AB315" s="33">
        <f>Z315-AA315</f>
        <v/>
      </c>
      <c r="AC315" s="33">
        <f>IF('Your debts'!$F$10="",0,MIN(AB315,MAX(0,MAX(0,'Your debts'!$C$19-(G315+L315+Q315+V315+AA315+AF315+AK315+AP315+AU315+AZ315))-(IF(AND('Your debts'!$F$6&lt;&gt;"",'Your debts'!$F$10&lt;&gt;"",'Your debts'!$F$6&lt;'Your debts'!$F$10),H315,0)+IF(AND('Your debts'!$F$7&lt;&gt;"",'Your debts'!$F$10&lt;&gt;"",'Your debts'!$F$7&lt;'Your debts'!$F$10),M315,0)+IF(AND('Your debts'!$F$8&lt;&gt;"",'Your debts'!$F$10&lt;&gt;"",'Your debts'!$F$8&lt;'Your debts'!$F$10),R315,0)+IF(AND('Your debts'!$F$9&lt;&gt;"",'Your debts'!$F$10&lt;&gt;"",'Your debts'!$F$9&lt;'Your debts'!$F$10),W315,0)+IF(AND('Your debts'!$F$11&lt;&gt;"",'Your debts'!$F$10&lt;&gt;"",'Your debts'!$F$11&lt;'Your debts'!$F$10),AG315,0)+IF(AND('Your debts'!$F$12&lt;&gt;"",'Your debts'!$F$10&lt;&gt;"",'Your debts'!$F$12&lt;'Your debts'!$F$10),AL315,0)+IF(AND('Your debts'!$F$13&lt;&gt;"",'Your debts'!$F$10&lt;&gt;"",'Your debts'!$F$13&lt;'Your debts'!$F$10),AQ315,0)+IF(AND('Your debts'!$F$14&lt;&gt;"",'Your debts'!$F$10&lt;&gt;"",'Your debts'!$F$14&lt;'Your debts'!$F$10),AV315,0)+IF(AND('Your debts'!$F$15&lt;&gt;"",'Your debts'!$F$10&lt;&gt;"",'Your debts'!$F$15&lt;'Your debts'!$F$10),BA315,0)))))</f>
        <v/>
      </c>
      <c r="AD315" s="33">
        <f>AB315-AC315</f>
        <v/>
      </c>
      <c r="AE315" s="33">
        <f>IF(AI314&lt;=0,0,ROUND(AI314*(1+'Your debts'!$D$11/1200),2))</f>
        <v/>
      </c>
      <c r="AF315" s="33">
        <f>IF(AE315&lt;=0,0,MIN('Your debts'!$E$11,AE315))</f>
        <v/>
      </c>
      <c r="AG315" s="33">
        <f>AE315-AF315</f>
        <v/>
      </c>
      <c r="AH315" s="33">
        <f>IF('Your debts'!$F$11="",0,MIN(AG315,MAX(0,MAX(0,'Your debts'!$C$19-(G315+L315+Q315+V315+AA315+AF315+AK315+AP315+AU315+AZ315))-(IF(AND('Your debts'!$F$6&lt;&gt;"",'Your debts'!$F$11&lt;&gt;"",'Your debts'!$F$6&lt;'Your debts'!$F$11),H315,0)+IF(AND('Your debts'!$F$7&lt;&gt;"",'Your debts'!$F$11&lt;&gt;"",'Your debts'!$F$7&lt;'Your debts'!$F$11),M315,0)+IF(AND('Your debts'!$F$8&lt;&gt;"",'Your debts'!$F$11&lt;&gt;"",'Your debts'!$F$8&lt;'Your debts'!$F$11),R315,0)+IF(AND('Your debts'!$F$9&lt;&gt;"",'Your debts'!$F$11&lt;&gt;"",'Your debts'!$F$9&lt;'Your debts'!$F$11),W315,0)+IF(AND('Your debts'!$F$10&lt;&gt;"",'Your debts'!$F$11&lt;&gt;"",'Your debts'!$F$10&lt;'Your debts'!$F$11),AB315,0)+IF(AND('Your debts'!$F$12&lt;&gt;"",'Your debts'!$F$11&lt;&gt;"",'Your debts'!$F$12&lt;'Your debts'!$F$11),AL315,0)+IF(AND('Your debts'!$F$13&lt;&gt;"",'Your debts'!$F$11&lt;&gt;"",'Your debts'!$F$13&lt;'Your debts'!$F$11),AQ315,0)+IF(AND('Your debts'!$F$14&lt;&gt;"",'Your debts'!$F$11&lt;&gt;"",'Your debts'!$F$14&lt;'Your debts'!$F$11),AV315,0)+IF(AND('Your debts'!$F$15&lt;&gt;"",'Your debts'!$F$11&lt;&gt;"",'Your debts'!$F$15&lt;'Your debts'!$F$11),BA315,0)))))</f>
        <v/>
      </c>
      <c r="AI315" s="33">
        <f>AG315-AH315</f>
        <v/>
      </c>
      <c r="AJ315" s="33">
        <f>IF(AN314&lt;=0,0,ROUND(AN314*(1+'Your debts'!$D$12/1200),2))</f>
        <v/>
      </c>
      <c r="AK315" s="33">
        <f>IF(AJ315&lt;=0,0,MIN('Your debts'!$E$12,AJ315))</f>
        <v/>
      </c>
      <c r="AL315" s="33">
        <f>AJ315-AK315</f>
        <v/>
      </c>
      <c r="AM315" s="33">
        <f>IF('Your debts'!$F$12="",0,MIN(AL315,MAX(0,MAX(0,'Your debts'!$C$19-(G315+L315+Q315+V315+AA315+AF315+AK315+AP315+AU315+AZ315))-(IF(AND('Your debts'!$F$6&lt;&gt;"",'Your debts'!$F$12&lt;&gt;"",'Your debts'!$F$6&lt;'Your debts'!$F$12),H315,0)+IF(AND('Your debts'!$F$7&lt;&gt;"",'Your debts'!$F$12&lt;&gt;"",'Your debts'!$F$7&lt;'Your debts'!$F$12),M315,0)+IF(AND('Your debts'!$F$8&lt;&gt;"",'Your debts'!$F$12&lt;&gt;"",'Your debts'!$F$8&lt;'Your debts'!$F$12),R315,0)+IF(AND('Your debts'!$F$9&lt;&gt;"",'Your debts'!$F$12&lt;&gt;"",'Your debts'!$F$9&lt;'Your debts'!$F$12),W315,0)+IF(AND('Your debts'!$F$10&lt;&gt;"",'Your debts'!$F$12&lt;&gt;"",'Your debts'!$F$10&lt;'Your debts'!$F$12),AB315,0)+IF(AND('Your debts'!$F$11&lt;&gt;"",'Your debts'!$F$12&lt;&gt;"",'Your debts'!$F$11&lt;'Your debts'!$F$12),AG315,0)+IF(AND('Your debts'!$F$13&lt;&gt;"",'Your debts'!$F$12&lt;&gt;"",'Your debts'!$F$13&lt;'Your debts'!$F$12),AQ315,0)+IF(AND('Your debts'!$F$14&lt;&gt;"",'Your debts'!$F$12&lt;&gt;"",'Your debts'!$F$14&lt;'Your debts'!$F$12),AV315,0)+IF(AND('Your debts'!$F$15&lt;&gt;"",'Your debts'!$F$12&lt;&gt;"",'Your debts'!$F$15&lt;'Your debts'!$F$12),BA315,0)))))</f>
        <v/>
      </c>
      <c r="AN315" s="33">
        <f>AL315-AM315</f>
        <v/>
      </c>
      <c r="AO315" s="33">
        <f>IF(AS314&lt;=0,0,ROUND(AS314*(1+'Your debts'!$D$13/1200),2))</f>
        <v/>
      </c>
      <c r="AP315" s="33">
        <f>IF(AO315&lt;=0,0,MIN('Your debts'!$E$13,AO315))</f>
        <v/>
      </c>
      <c r="AQ315" s="33">
        <f>AO315-AP315</f>
        <v/>
      </c>
      <c r="AR315" s="33">
        <f>IF('Your debts'!$F$13="",0,MIN(AQ315,MAX(0,MAX(0,'Your debts'!$C$19-(G315+L315+Q315+V315+AA315+AF315+AK315+AP315+AU315+AZ315))-(IF(AND('Your debts'!$F$6&lt;&gt;"",'Your debts'!$F$13&lt;&gt;"",'Your debts'!$F$6&lt;'Your debts'!$F$13),H315,0)+IF(AND('Your debts'!$F$7&lt;&gt;"",'Your debts'!$F$13&lt;&gt;"",'Your debts'!$F$7&lt;'Your debts'!$F$13),M315,0)+IF(AND('Your debts'!$F$8&lt;&gt;"",'Your debts'!$F$13&lt;&gt;"",'Your debts'!$F$8&lt;'Your debts'!$F$13),R315,0)+IF(AND('Your debts'!$F$9&lt;&gt;"",'Your debts'!$F$13&lt;&gt;"",'Your debts'!$F$9&lt;'Your debts'!$F$13),W315,0)+IF(AND('Your debts'!$F$10&lt;&gt;"",'Your debts'!$F$13&lt;&gt;"",'Your debts'!$F$10&lt;'Your debts'!$F$13),AB315,0)+IF(AND('Your debts'!$F$11&lt;&gt;"",'Your debts'!$F$13&lt;&gt;"",'Your debts'!$F$11&lt;'Your debts'!$F$13),AG315,0)+IF(AND('Your debts'!$F$12&lt;&gt;"",'Your debts'!$F$13&lt;&gt;"",'Your debts'!$F$12&lt;'Your debts'!$F$13),AL315,0)+IF(AND('Your debts'!$F$14&lt;&gt;"",'Your debts'!$F$13&lt;&gt;"",'Your debts'!$F$14&lt;'Your debts'!$F$13),AV315,0)+IF(AND('Your debts'!$F$15&lt;&gt;"",'Your debts'!$F$13&lt;&gt;"",'Your debts'!$F$15&lt;'Your debts'!$F$13),BA315,0)))))</f>
        <v/>
      </c>
      <c r="AS315" s="33">
        <f>AQ315-AR315</f>
        <v/>
      </c>
      <c r="AT315" s="33">
        <f>IF(AX314&lt;=0,0,ROUND(AX314*(1+'Your debts'!$D$14/1200),2))</f>
        <v/>
      </c>
      <c r="AU315" s="33">
        <f>IF(AT315&lt;=0,0,MIN('Your debts'!$E$14,AT315))</f>
        <v/>
      </c>
      <c r="AV315" s="33">
        <f>AT315-AU315</f>
        <v/>
      </c>
      <c r="AW315" s="33">
        <f>IF('Your debts'!$F$14="",0,MIN(AV315,MAX(0,MAX(0,'Your debts'!$C$19-(G315+L315+Q315+V315+AA315+AF315+AK315+AP315+AU315+AZ315))-(IF(AND('Your debts'!$F$6&lt;&gt;"",'Your debts'!$F$14&lt;&gt;"",'Your debts'!$F$6&lt;'Your debts'!$F$14),H315,0)+IF(AND('Your debts'!$F$7&lt;&gt;"",'Your debts'!$F$14&lt;&gt;"",'Your debts'!$F$7&lt;'Your debts'!$F$14),M315,0)+IF(AND('Your debts'!$F$8&lt;&gt;"",'Your debts'!$F$14&lt;&gt;"",'Your debts'!$F$8&lt;'Your debts'!$F$14),R315,0)+IF(AND('Your debts'!$F$9&lt;&gt;"",'Your debts'!$F$14&lt;&gt;"",'Your debts'!$F$9&lt;'Your debts'!$F$14),W315,0)+IF(AND('Your debts'!$F$10&lt;&gt;"",'Your debts'!$F$14&lt;&gt;"",'Your debts'!$F$10&lt;'Your debts'!$F$14),AB315,0)+IF(AND('Your debts'!$F$11&lt;&gt;"",'Your debts'!$F$14&lt;&gt;"",'Your debts'!$F$11&lt;'Your debts'!$F$14),AG315,0)+IF(AND('Your debts'!$F$12&lt;&gt;"",'Your debts'!$F$14&lt;&gt;"",'Your debts'!$F$12&lt;'Your debts'!$F$14),AL315,0)+IF(AND('Your debts'!$F$13&lt;&gt;"",'Your debts'!$F$14&lt;&gt;"",'Your debts'!$F$13&lt;'Your debts'!$F$14),AQ315,0)+IF(AND('Your debts'!$F$15&lt;&gt;"",'Your debts'!$F$14&lt;&gt;"",'Your debts'!$F$15&lt;'Your debts'!$F$14),BA315,0)))))</f>
        <v/>
      </c>
      <c r="AX315" s="33">
        <f>AV315-AW315</f>
        <v/>
      </c>
      <c r="AY315" s="33">
        <f>IF(BC314&lt;=0,0,ROUND(BC314*(1+'Your debts'!$D$15/1200),2))</f>
        <v/>
      </c>
      <c r="AZ315" s="33">
        <f>IF(AY315&lt;=0,0,MIN('Your debts'!$E$15,AY315))</f>
        <v/>
      </c>
      <c r="BA315" s="33">
        <f>AY315-AZ315</f>
        <v/>
      </c>
      <c r="BB315" s="33">
        <f>IF('Your debts'!$F$15="",0,MIN(BA315,MAX(0,MAX(0,'Your debts'!$C$19-(G315+L315+Q315+V315+AA315+AF315+AK315+AP315+AU315+AZ315))-(IF(AND('Your debts'!$F$6&lt;&gt;"",'Your debts'!$F$15&lt;&gt;"",'Your debts'!$F$6&lt;'Your debts'!$F$15),H315,0)+IF(AND('Your debts'!$F$7&lt;&gt;"",'Your debts'!$F$15&lt;&gt;"",'Your debts'!$F$7&lt;'Your debts'!$F$15),M315,0)+IF(AND('Your debts'!$F$8&lt;&gt;"",'Your debts'!$F$15&lt;&gt;"",'Your debts'!$F$8&lt;'Your debts'!$F$15),R315,0)+IF(AND('Your debts'!$F$9&lt;&gt;"",'Your debts'!$F$15&lt;&gt;"",'Your debts'!$F$9&lt;'Your debts'!$F$15),W315,0)+IF(AND('Your debts'!$F$10&lt;&gt;"",'Your debts'!$F$15&lt;&gt;"",'Your debts'!$F$10&lt;'Your debts'!$F$15),AB315,0)+IF(AND('Your debts'!$F$11&lt;&gt;"",'Your debts'!$F$15&lt;&gt;"",'Your debts'!$F$11&lt;'Your debts'!$F$15),AG315,0)+IF(AND('Your debts'!$F$12&lt;&gt;"",'Your debts'!$F$15&lt;&gt;"",'Your debts'!$F$12&lt;'Your debts'!$F$15),AL315,0)+IF(AND('Your debts'!$F$13&lt;&gt;"",'Your debts'!$F$15&lt;&gt;"",'Your debts'!$F$13&lt;'Your debts'!$F$15),AQ315,0)+IF(AND('Your debts'!$F$14&lt;&gt;"",'Your debts'!$F$15&lt;&gt;"",'Your debts'!$F$14&lt;'Your debts'!$F$15),AV315,0)))))</f>
        <v/>
      </c>
      <c r="BC315" s="33">
        <f>BA315-BB315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2026-09-20T17:04:10Z</dcterms:created>
  <dcterms:modified xmlns:dcterms="http://purl.org/dc/terms/" xmlns:xsi="http://www.w3.org/2001/XMLSchema-instance" xsi:type="dcterms:W3CDTF">2026-09-20T17:04:10Z</dcterms:modified>
</cp:coreProperties>
</file>